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xl/python.xml" ContentType="application/vnd.ms-excel.pyth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codeName="TämäTyökirja"/>
  <mc:AlternateContent xmlns:mc="http://schemas.openxmlformats.org/markup-compatibility/2006">
    <mc:Choice Requires="x15">
      <x15ac:absPath xmlns:x15ac="http://schemas.microsoft.com/office/spreadsheetml/2010/11/ac" url="G:\Ellan tiedostot\some\2024-8 Ruokolahti esiliina\"/>
    </mc:Choice>
  </mc:AlternateContent>
  <xr:revisionPtr revIDLastSave="0" documentId="13_ncr:1_{AFE55932-9B3E-4342-8FAB-F67F78408771}" xr6:coauthVersionLast="47" xr6:coauthVersionMax="47" xr10:uidLastSave="{00000000-0000-0000-0000-000000000000}"/>
  <bookViews>
    <workbookView xWindow="1500" yWindow="1125" windowWidth="19395" windowHeight="14055" xr2:uid="{AEE78A3B-BD02-462F-A33C-F67876375DDE}"/>
  </bookViews>
  <sheets>
    <sheet name="laskuri" sheetId="4" r:id="rId1"/>
    <sheet name="tuloste" sheetId="5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3" i="4" l="1"/>
  <c r="G71" i="4"/>
  <c r="A94" i="5"/>
  <c r="B93" i="5"/>
  <c r="B92" i="5"/>
  <c r="A6" i="5"/>
  <c r="D24" i="4" l="1"/>
  <c r="F3" i="5"/>
  <c r="F5" i="5"/>
  <c r="D165" i="4"/>
  <c r="E162" i="4" s="1"/>
  <c r="F165" i="4"/>
  <c r="G158" i="4"/>
  <c r="A60" i="5"/>
  <c r="F4" i="5"/>
  <c r="F150" i="4"/>
  <c r="D150" i="4"/>
  <c r="E137" i="4" s="1"/>
  <c r="G132" i="4"/>
  <c r="G99" i="4"/>
  <c r="E24" i="4"/>
  <c r="F124" i="4"/>
  <c r="D124" i="4"/>
  <c r="D94" i="4"/>
  <c r="E75" i="4" s="1"/>
  <c r="F94" i="4"/>
  <c r="E92" i="4" l="1"/>
  <c r="E86" i="4"/>
  <c r="E164" i="4"/>
  <c r="E163" i="4"/>
  <c r="E88" i="4"/>
  <c r="E144" i="4"/>
  <c r="E80" i="4"/>
  <c r="E136" i="4"/>
  <c r="E82" i="4"/>
  <c r="E76" i="4"/>
  <c r="E148" i="4"/>
  <c r="E142" i="4"/>
  <c r="E138" i="4"/>
  <c r="E85" i="4"/>
  <c r="E147" i="4"/>
  <c r="E141" i="4"/>
  <c r="E84" i="4"/>
  <c r="E78" i="4"/>
  <c r="E146" i="4"/>
  <c r="E140" i="4"/>
  <c r="E91" i="4"/>
  <c r="E79" i="4"/>
  <c r="E90" i="4"/>
  <c r="E89" i="4"/>
  <c r="E83" i="4"/>
  <c r="E77" i="4"/>
  <c r="E145" i="4"/>
  <c r="E139" i="4"/>
  <c r="E93" i="4"/>
  <c r="E87" i="4"/>
  <c r="E81" i="4"/>
  <c r="E149" i="4"/>
  <c r="E143" i="4"/>
  <c r="E115" i="4"/>
  <c r="E108" i="4"/>
  <c r="E122" i="4"/>
  <c r="E116" i="4"/>
  <c r="E110" i="4"/>
  <c r="E104" i="4"/>
  <c r="E109" i="4"/>
  <c r="E119" i="4"/>
  <c r="E113" i="4"/>
  <c r="E107" i="4"/>
  <c r="E121" i="4"/>
  <c r="E114" i="4"/>
  <c r="E103" i="4"/>
  <c r="E118" i="4"/>
  <c r="E112" i="4"/>
  <c r="E106" i="4"/>
  <c r="E120" i="4"/>
  <c r="E123" i="4"/>
  <c r="E117" i="4"/>
  <c r="E111" i="4"/>
  <c r="E105" i="4"/>
  <c r="C44" i="4"/>
  <c r="D44" i="4" s="1"/>
  <c r="B89" i="5" s="1"/>
  <c r="C42" i="4"/>
  <c r="D42" i="4" s="1"/>
  <c r="B72" i="5" s="1"/>
  <c r="C40" i="4"/>
  <c r="D40" i="4" s="1"/>
  <c r="A68" i="5" s="1"/>
  <c r="C39" i="4"/>
  <c r="D39" i="4" s="1"/>
  <c r="C38" i="4"/>
  <c r="D38" i="4" s="1"/>
  <c r="A63" i="5" s="1"/>
  <c r="C37" i="4"/>
  <c r="C36" i="4"/>
  <c r="D36" i="4" s="1"/>
  <c r="C35" i="4"/>
  <c r="C34" i="4"/>
  <c r="D34" i="4" s="1"/>
  <c r="C33" i="4"/>
  <c r="D33" i="4" s="1"/>
  <c r="B12" i="5" s="1"/>
  <c r="C30" i="4"/>
  <c r="C29" i="4"/>
  <c r="E165" i="4" l="1"/>
  <c r="E94" i="4"/>
  <c r="A64" i="5"/>
  <c r="G159" i="4"/>
  <c r="B58" i="5"/>
  <c r="B33" i="5"/>
  <c r="D35" i="4"/>
  <c r="B35" i="5" s="1"/>
  <c r="E150" i="4"/>
  <c r="E29" i="4"/>
  <c r="D29" i="4"/>
  <c r="E30" i="4"/>
  <c r="D30" i="4"/>
  <c r="E37" i="4"/>
  <c r="E124" i="4"/>
  <c r="E38" i="4"/>
  <c r="E39" i="4"/>
  <c r="E40" i="4"/>
  <c r="G72" i="4"/>
  <c r="G80" i="4" l="1"/>
  <c r="D18" i="5" s="1"/>
  <c r="G86" i="4"/>
  <c r="D24" i="5" s="1"/>
  <c r="G92" i="4"/>
  <c r="D30" i="5" s="1"/>
  <c r="G76" i="4"/>
  <c r="D14" i="5" s="1"/>
  <c r="G82" i="4"/>
  <c r="D20" i="5" s="1"/>
  <c r="G88" i="4"/>
  <c r="D26" i="5" s="1"/>
  <c r="G75" i="4"/>
  <c r="G78" i="4"/>
  <c r="D16" i="5" s="1"/>
  <c r="G84" i="4"/>
  <c r="D22" i="5" s="1"/>
  <c r="G90" i="4"/>
  <c r="D28" i="5" s="1"/>
  <c r="G77" i="4"/>
  <c r="D15" i="5" s="1"/>
  <c r="G87" i="4"/>
  <c r="D25" i="5" s="1"/>
  <c r="G81" i="4"/>
  <c r="D19" i="5" s="1"/>
  <c r="G79" i="4"/>
  <c r="D17" i="5" s="1"/>
  <c r="G89" i="4"/>
  <c r="D27" i="5" s="1"/>
  <c r="G91" i="4"/>
  <c r="D29" i="5" s="1"/>
  <c r="G83" i="4"/>
  <c r="D21" i="5" s="1"/>
  <c r="G93" i="4"/>
  <c r="D31" i="5" s="1"/>
  <c r="G85" i="4"/>
  <c r="D23" i="5" s="1"/>
  <c r="G162" i="4"/>
  <c r="G164" i="4"/>
  <c r="D67" i="5" s="1"/>
  <c r="G163" i="4"/>
  <c r="D66" i="5" s="1"/>
  <c r="D43" i="4"/>
  <c r="G100" i="4"/>
  <c r="E45" i="4"/>
  <c r="C31" i="4"/>
  <c r="D31" i="4" s="1"/>
  <c r="A9" i="5" s="1"/>
  <c r="D13" i="5" l="1"/>
  <c r="G94" i="4"/>
  <c r="E95" i="4" s="1"/>
  <c r="E98" i="4" s="1"/>
  <c r="G108" i="4"/>
  <c r="D41" i="5" s="1"/>
  <c r="G114" i="4"/>
  <c r="D47" i="5" s="1"/>
  <c r="G120" i="4"/>
  <c r="D53" i="5" s="1"/>
  <c r="G104" i="4"/>
  <c r="D37" i="5" s="1"/>
  <c r="G110" i="4"/>
  <c r="D43" i="5" s="1"/>
  <c r="G116" i="4"/>
  <c r="D49" i="5" s="1"/>
  <c r="G122" i="4"/>
  <c r="D55" i="5" s="1"/>
  <c r="G123" i="4"/>
  <c r="D56" i="5" s="1"/>
  <c r="G121" i="4"/>
  <c r="D54" i="5" s="1"/>
  <c r="G117" i="4"/>
  <c r="D50" i="5" s="1"/>
  <c r="G115" i="4"/>
  <c r="D48" i="5" s="1"/>
  <c r="G119" i="4"/>
  <c r="D52" i="5" s="1"/>
  <c r="E52" i="5" s="1"/>
  <c r="G103" i="4"/>
  <c r="G111" i="4"/>
  <c r="D44" i="5" s="1"/>
  <c r="G105" i="4"/>
  <c r="D38" i="5" s="1"/>
  <c r="G109" i="4"/>
  <c r="D42" i="5" s="1"/>
  <c r="G113" i="4"/>
  <c r="D46" i="5" s="1"/>
  <c r="G118" i="4"/>
  <c r="D51" i="5" s="1"/>
  <c r="G107" i="4"/>
  <c r="D40" i="5" s="1"/>
  <c r="E40" i="5" s="1"/>
  <c r="G112" i="4"/>
  <c r="D45" i="5" s="1"/>
  <c r="G106" i="4"/>
  <c r="D39" i="5" s="1"/>
  <c r="G165" i="4"/>
  <c r="E166" i="4" s="1"/>
  <c r="D65" i="5"/>
  <c r="G133" i="4"/>
  <c r="B73" i="5"/>
  <c r="E31" i="4"/>
  <c r="E96" i="4" l="1"/>
  <c r="E99" i="4" s="1"/>
  <c r="E167" i="4"/>
  <c r="E170" i="4" s="1"/>
  <c r="E169" i="4"/>
  <c r="E168" i="4"/>
  <c r="E97" i="4"/>
  <c r="I91" i="4" s="1"/>
  <c r="G141" i="4"/>
  <c r="D79" i="5" s="1"/>
  <c r="G146" i="4"/>
  <c r="D84" i="5" s="1"/>
  <c r="G144" i="4"/>
  <c r="D82" i="5" s="1"/>
  <c r="G140" i="4"/>
  <c r="G138" i="4"/>
  <c r="D76" i="5" s="1"/>
  <c r="G148" i="4"/>
  <c r="D86" i="5" s="1"/>
  <c r="G142" i="4"/>
  <c r="D80" i="5" s="1"/>
  <c r="G145" i="4"/>
  <c r="D83" i="5" s="1"/>
  <c r="G149" i="4"/>
  <c r="D87" i="5" s="1"/>
  <c r="G136" i="4"/>
  <c r="D74" i="5" s="1"/>
  <c r="G139" i="4"/>
  <c r="D77" i="5" s="1"/>
  <c r="G143" i="4"/>
  <c r="D81" i="5" s="1"/>
  <c r="G147" i="4"/>
  <c r="D85" i="5" s="1"/>
  <c r="G137" i="4"/>
  <c r="D75" i="5" s="1"/>
  <c r="D36" i="5"/>
  <c r="G124" i="4"/>
  <c r="E125" i="4" s="1"/>
  <c r="C47" i="4"/>
  <c r="E171" i="4" l="1"/>
  <c r="E173" i="4" s="1"/>
  <c r="E127" i="4"/>
  <c r="E128" i="4"/>
  <c r="E126" i="4"/>
  <c r="G150" i="4"/>
  <c r="E151" i="4" s="1"/>
  <c r="D78" i="5"/>
  <c r="I162" i="4"/>
  <c r="D47" i="4"/>
  <c r="E47" i="4" s="1"/>
  <c r="G38" i="4" s="1"/>
  <c r="E172" i="4" l="1"/>
  <c r="E152" i="4"/>
  <c r="E154" i="4"/>
  <c r="E153" i="4"/>
  <c r="E174" i="4"/>
  <c r="F1" i="5"/>
  <c r="E129" i="4"/>
  <c r="I121" i="4" s="1"/>
  <c r="F2" i="5"/>
  <c r="E155" i="4" l="1"/>
  <c r="I147" i="4" s="1"/>
  <c r="F171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tc={44F31A8F-AB1B-4004-A98E-9309F57219C9}</author>
    <author>tc={5121DB71-55AC-42E0-8585-27D80891E3AE}</author>
    <author>tc={73B0EAE8-3F52-4E80-9124-7F61CF467600}</author>
    <author>tc={DCC3ABCA-CEC0-4C5B-B1D0-586BE3D7A7B5}</author>
    <author>tc={9907B62F-23C5-4764-B623-F23217A1428C}</author>
    <author>tc={977A9BA5-38B1-4C27-B2C9-516EFF15F315}</author>
    <author>tc={74653097-F93D-49E7-8363-E9DAA7491179}</author>
    <author>tc={BFC3252E-D039-42F6-BBD7-AC1AEA578621}</author>
    <author>tc={FD3DE4F3-11D0-4E72-A1A6-E0732001607A}</author>
    <author>tc={43D5B29C-4B69-4F8E-AB6E-605E4216CB31}</author>
    <author>tc={763F5B42-3268-4E63-85EC-63E2D7FD46F7}</author>
    <author>tc={DD44464E-D673-46F6-A5A8-B2A059361475}</author>
    <author>tc={DAC16ED6-37C4-4860-A1FC-F3BF7E6B803F}</author>
    <author>tc={A87E4B49-CBD9-4459-A570-3113A6448143}</author>
    <author>tc={20AF7DD0-349B-4391-A81B-3EE3394B9530}</author>
  </authors>
  <commentList>
    <comment ref="B9" authorId="0" shapeId="0" xr:uid="{44F31A8F-AB1B-4004-A98E-9309F57219C9}">
      <text>
        <t>[Kommenttiketju]
Excel-versiosi avulla voit lukea tämän kommenttiketjun, mutta siihen tehdyt muutokset poistetaan, jos tiedosto avataan uudemmassa Excel-versiossa. Lisätietoja: https://go.microsoft.com/fwlink/?linkid=870924
Kommentti:
    5-7. Alkuperäisessä esiliinassa 7.</t>
      </text>
    </comment>
    <comment ref="B13" authorId="1" shapeId="0" xr:uid="{5121DB71-55AC-42E0-8585-27D80891E3AE}">
      <text>
        <t xml:space="preserve">[Kommenttiketju]
Excel-versiosi avulla voit lukea tämän kommenttiketjun, mutta siihen tehdyt muutokset poistetaan, jos tiedosto avataan uudemmassa Excel-versiossa. Lisätietoja: https://go.microsoft.com/fwlink/?linkid=870924
Kommentti:
    Voi olla esim. välillä 1,2-1,6 cm. Alkuperäisessä esiliinassa 1,6 cm.
</t>
      </text>
    </comment>
    <comment ref="B14" authorId="2" shapeId="0" xr:uid="{73B0EAE8-3F52-4E80-9124-7F61CF467600}">
      <text>
        <t>[Kommenttiketju]
Excel-versiosi avulla voit lukea tämän kommenttiketjun, mutta siihen tehdyt muutokset poistetaan, jos tiedosto avataan uudemmassa Excel-versiossa. Lisätietoja: https://go.microsoft.com/fwlink/?linkid=870924
Kommentti:
    Alkuperäisessä esiliinassa 9,7. Helpoiten säätelet esiliinan pituutta muuttamalla alkupalttinan korkeutta. 
Voit aloittaa kutomisen myös esiliinan helmasta ja päättää alkupalttinan korkeuden vasta, kun tiedät kuinka pitkä raitaosuudesta tuli.</t>
      </text>
    </comment>
    <comment ref="B15" authorId="3" shapeId="0" xr:uid="{DCC3ABCA-CEC0-4C5B-B1D0-586BE3D7A7B5}">
      <text>
        <t xml:space="preserve">[Kommenttiketju]
Excel-versiosi avulla voit lukea tämän kommenttiketjun, mutta siihen tehdyt muutokset poistetaan, jos tiedosto avataan uudemmassa Excel-versiossa. Lisätietoja: https://go.microsoft.com/fwlink/?linkid=870924
Kommentti:
    Alkuperäisessä esiliinassa n. 1,8 cm.
Voit säätää esiliinan pituutta muuttamalla raidan leveyttä. </t>
      </text>
    </comment>
    <comment ref="B16" authorId="4" shapeId="0" xr:uid="{9907B62F-23C5-4764-B623-F23217A1428C}">
      <text>
        <t xml:space="preserve">[Kommenttiketju]
Excel-versiosi avulla voit lukea tämän kommenttiketjun, mutta siihen tehdyt muutokset poistetaan, jos tiedosto avataan uudemmassa Excel-versiossa. Lisätietoja: https://go.microsoft.com/fwlink/?linkid=870924
Kommentti:
    Alkuperäisessä esiliinassa n. 2,8 cm.
Voit säätää esiliinan pituutta muuttamalla raidan leveyttä. </t>
      </text>
    </comment>
    <comment ref="B17" authorId="5" shapeId="0" xr:uid="{977A9BA5-38B1-4C27-B2C9-516EFF15F315}">
      <text>
        <t>[Kommenttiketju]
Excel-versiosi avulla voit lukea tämän kommenttiketjun, mutta siihen tehdyt muutokset poistetaan, jos tiedosto avataan uudemmassa Excel-versiossa. Lisätietoja: https://go.microsoft.com/fwlink/?linkid=870924
Kommentti:
    Alkuperäisessä esiliinassa n. 1,5 cm. Voit helposti säätää esiliinan pituutta muuttamalla välipalttinan leveyttä.</t>
      </text>
    </comment>
    <comment ref="B18" authorId="6" shapeId="0" xr:uid="{74653097-F93D-49E7-8363-E9DAA7491179}">
      <text>
        <t>[Kommenttiketju]
Excel-versiosi avulla voit lukea tämän kommenttiketjun, mutta siihen tehdyt muutokset poistetaan, jos tiedosto avataan uudemmassa Excel-versiossa. Lisätietoja: https://go.microsoft.com/fwlink/?linkid=870924
Kommentti:
    Alkuperäisessä esiliinassa 0,8 cm.</t>
      </text>
    </comment>
    <comment ref="B19" authorId="7" shapeId="0" xr:uid="{BFC3252E-D039-42F6-BBD7-AC1AEA578621}">
      <text>
        <t>[Kommenttiketju]
Excel-versiosi avulla voit lukea tämän kommenttiketjun, mutta siihen tehdyt muutokset poistetaan, jos tiedosto avataan uudemmassa Excel-versiossa. Lisätietoja: https://go.microsoft.com/fwlink/?linkid=870924
Kommentti:
    Alkuperäisessä esiliinassa 1,8 cm.
Huom: reunakaitaleen leveys ei vaikuta esiliinan pituuteen.</t>
      </text>
    </comment>
    <comment ref="B20" authorId="8" shapeId="0" xr:uid="{FD3DE4F3-11D0-4E72-A1A6-E0732001607A}">
      <text>
        <t xml:space="preserve">[Kommenttiketju]
Excel-versiosi avulla voit lukea tämän kommenttiketjun, mutta siihen tehdyt muutokset poistetaan, jos tiedosto avataan uudemmassa Excel-versiossa. Lisätietoja: https://go.microsoft.com/fwlink/?linkid=870924
Kommentti:
    Saumavarat tulevat vyötärökaitaleen ja esiliinakankaan väliseen saumaan sekä sivukaitaleiden ja esiliinakankaan väliseen saumaan. </t>
      </text>
    </comment>
    <comment ref="B21" authorId="9" shapeId="0" xr:uid="{43D5B29C-4B69-4F8E-AB6E-605E4216CB31}">
      <text>
        <t>[Kommenttiketju]
Excel-versiosi avulla voit lukea tämän kommenttiketjun, mutta siihen tehdyt muutokset poistetaan, jos tiedosto avataan uudemmassa Excel-versiossa. Lisätietoja: https://go.microsoft.com/fwlink/?linkid=870924
Kommentti:
    Tähän lasketaan mukaan myös kankaan oikealle puolelle jäävä osa eli siis: jos päärmevara on 1,2 cm, on päärmeen leveys 0,4 cm. Alkuperäisessä esiliinassa päärmeet ovat 0,3-0,4 cm eli päärmevarat ovat silloin olleet 0,9-1,2 cm.
Suositeltava päärmevara 1-1,5 cm.</t>
      </text>
    </comment>
    <comment ref="D28" authorId="10" shapeId="0" xr:uid="{763F5B42-3268-4E63-85EC-63E2D7FD46F7}">
      <text>
        <t>[Kommenttiketju]
Excel-versiosi avulla voit lukea tämän kommenttiketjun, mutta siihen tehdyt muutokset poistetaan, jos tiedosto avataan uudemmassa Excel-versiossa. Lisätietoja: https://go.microsoft.com/fwlink/?linkid=870924
Kommentti:
    Kangas kutistuu puilta otettaessa sekä kun se kastellaan ensimmäisen kerran. Kutistuma riippuu käsialasta ja langoista.</t>
      </text>
    </comment>
    <comment ref="D74" authorId="11" shapeId="0" xr:uid="{DD44464E-D673-46F6-A5A8-B2A059361475}">
      <text>
        <t>[Kommenttiketju]
Excel-versiosi avulla voit lukea tämän kommenttiketjun, mutta siihen tehdyt muutokset poistetaan, jos tiedosto avataan uudemmassa Excel-versiossa. Lisätietoja: https://go.microsoft.com/fwlink/?linkid=870924
Kommentti:
    Jokainen raita on erilainen, joten määrät ovat suurin piirtein arvioita.
Alkuperäisessä esiliinassa myös mustien ja keltaisten rantujen järjestys vaihtelee.</t>
      </text>
    </comment>
    <comment ref="D102" authorId="12" shapeId="0" xr:uid="{DAC16ED6-37C4-4860-A1FC-F3BF7E6B803F}">
      <text>
        <t xml:space="preserve">[Kommenttiketju]
Excel-versiosi avulla voit lukea tämän kommenttiketjun, mutta siihen tehdyt muutokset poistetaan, jos tiedosto avataan uudemmassa Excel-versiossa. Lisätietoja: https://go.microsoft.com/fwlink/?linkid=870924
Kommentti:
    Jokainen raita on erilainen, joten määrät ovat suurin piirtein arvioita.
</t>
      </text>
    </comment>
    <comment ref="D135" authorId="13" shapeId="0" xr:uid="{A87E4B49-CBD9-4459-A570-3113A6448143}">
      <text>
        <t xml:space="preserve">[Kommenttiketju]
Excel-versiosi avulla voit lukea tämän kommenttiketjun, mutta siihen tehdyt muutokset poistetaan, jos tiedosto avataan uudemmassa Excel-versiossa. Lisätietoja: https://go.microsoft.com/fwlink/?linkid=870924
Kommentti:
    Jokainen raita on erilainen, joten määrät ovat suurin piirtein arvioita.
</t>
      </text>
    </comment>
    <comment ref="D161" authorId="14" shapeId="0" xr:uid="{20AF7DD0-349B-4391-A81B-3EE3394B9530}">
      <text>
        <t xml:space="preserve">[Kommenttiketju]
Excel-versiosi avulla voit lukea tämän kommenttiketjun, mutta siihen tehdyt muutokset poistetaan, jos tiedosto avataan uudemmassa Excel-versiossa. Lisätietoja: https://go.microsoft.com/fwlink/?linkid=870924
Kommentti:
    Jokainen raita on erilainen, joten määrät ovat suurin piirtein arvioita.
</t>
      </text>
    </comment>
  </commentList>
</comments>
</file>

<file path=xl/python.xml><?xml version="1.0" encoding="utf-8"?>
<python xmlns="http://schemas.microsoft.com/office/spreadsheetml/2023/python">
  <environmentDefinition id="{882DD1B0-6546-4DFA-8A08-902A380B44EA}">
    <initialization userModified="1">
      <code xml:space="preserve">import numpy as np
import pandas as pd
import matplotlib.pyplot as plt
import seaborn as sns
import statsmodels as sm
import excel
import warnings
warnings.simplefilter('ignore')
excel.set_xl_scalar_conversion(excel.convert_to_scalar)
excel.set_xl_array_conversion(excel.convert_to_dataframe)
</code>
    </initialization>
  </environmentDefinition>
</python>
</file>

<file path=xl/sharedStrings.xml><?xml version="1.0" encoding="utf-8"?>
<sst xmlns="http://schemas.openxmlformats.org/spreadsheetml/2006/main" count="240" uniqueCount="84">
  <si>
    <t>alkupalttina</t>
  </si>
  <si>
    <t>pitsi</t>
  </si>
  <si>
    <t>hapsut</t>
  </si>
  <si>
    <t>välipalttina</t>
  </si>
  <si>
    <t>kapea raita</t>
  </si>
  <si>
    <t>leveä raita</t>
  </si>
  <si>
    <t>loppuraita</t>
  </si>
  <si>
    <t>päärmevara</t>
  </si>
  <si>
    <t>punainen</t>
  </si>
  <si>
    <t>keltainen</t>
  </si>
  <si>
    <t>musta</t>
  </si>
  <si>
    <t>vihreä</t>
  </si>
  <si>
    <t>Kutistuma</t>
  </si>
  <si>
    <t>vyötärökaitale</t>
  </si>
  <si>
    <t>korkeus</t>
  </si>
  <si>
    <t>osa</t>
  </si>
  <si>
    <t>saumavara</t>
  </si>
  <si>
    <t>kuviokertojen määrä</t>
  </si>
  <si>
    <t>reunaraita</t>
  </si>
  <si>
    <t>loppupalttina ja -raita</t>
  </si>
  <si>
    <t>saumavarat</t>
  </si>
  <si>
    <t>päärmevarat</t>
  </si>
  <si>
    <t>toista x</t>
  </si>
  <si>
    <t>loppupalttina</t>
  </si>
  <si>
    <t>Yhteensä</t>
  </si>
  <si>
    <t>yhteensä</t>
  </si>
  <si>
    <t>Määritä mitat</t>
  </si>
  <si>
    <t>Ohje</t>
  </si>
  <si>
    <t>huomioi tämä</t>
  </si>
  <si>
    <t>cm</t>
  </si>
  <si>
    <r>
      <t xml:space="preserve">piilota sarake </t>
    </r>
    <r>
      <rPr>
        <sz val="11"/>
        <color rgb="FF7F7F7F"/>
        <rFont val="Aptos Narrow"/>
        <family val="2"/>
      </rPr>
      <t>→</t>
    </r>
  </si>
  <si>
    <t>Mitta-avustaja: ruokolahtelainen esiliina (Lahden museot 2430:986)</t>
  </si>
  <si>
    <t>Malli</t>
  </si>
  <si>
    <t>Oma</t>
  </si>
  <si>
    <t>Alkup.</t>
  </si>
  <si>
    <t xml:space="preserve"> (cm)</t>
  </si>
  <si>
    <t>kuteen tiheys (lankaa(cm)</t>
  </si>
  <si>
    <t>Kapea raita</t>
  </si>
  <si>
    <t>Värit</t>
  </si>
  <si>
    <t>Leveä raita</t>
  </si>
  <si>
    <t>luku haetaan automaattisesti</t>
  </si>
  <si>
    <t>täytä nämä mitat itse</t>
  </si>
  <si>
    <t>täytä tämä</t>
  </si>
  <si>
    <t xml:space="preserve"> (lankaa/cm)</t>
  </si>
  <si>
    <t>Reunaraita</t>
  </si>
  <si>
    <t>reunakaitaleen leveys</t>
  </si>
  <si>
    <t>valkoinen</t>
  </si>
  <si>
    <t>Valmiin esiliinan pituus</t>
  </si>
  <si>
    <t>Kudottavan kankaan pituus</t>
  </si>
  <si>
    <t>Kuteen tiheys ripsiraidoissa (lankaa/cm)</t>
  </si>
  <si>
    <t>Aloita ensimmäinen kuviokerta raitoja</t>
  </si>
  <si>
    <t>Älä kuitenkaan kudo viimeisen kuviokerran viimeistä välipalttinaa.</t>
  </si>
  <si>
    <t>Kudontaohje</t>
  </si>
  <si>
    <t>Loppuraita</t>
  </si>
  <si>
    <t>Seuraavaksi kudo reunaraidat.</t>
  </si>
  <si>
    <t>Aloita ensimmäinen kuviokerta:</t>
  </si>
  <si>
    <t>Kankaan arvioitu kutistuminen</t>
  </si>
  <si>
    <t>Raitaryhmien määrä</t>
  </si>
  <si>
    <t>Alustava kudontasuunnitelma</t>
  </si>
  <si>
    <t>Raita-avustaja: ruokolahtelainen esiliina (Lahden museot 2430:986)</t>
  </si>
  <si>
    <t>Alustava kudontasuunnitelma näyttää osat kudontajärjestyksessä. Taulukko käyttää antamiasi mittoja.</t>
  </si>
  <si>
    <t xml:space="preserve">2. TÄYTÄ oranssiin ruutuun, paljonko odotat kankaan kutistuvan </t>
  </si>
  <si>
    <r>
      <rPr>
        <b/>
        <sz val="11"/>
        <color theme="1"/>
        <rFont val="Aptos Narrow"/>
        <family val="2"/>
        <scheme val="minor"/>
      </rPr>
      <t xml:space="preserve">Malliesiliinan langat: </t>
    </r>
    <r>
      <rPr>
        <sz val="11"/>
        <color theme="1"/>
        <rFont val="Aptos Narrow"/>
        <family val="2"/>
        <scheme val="minor"/>
      </rPr>
      <t xml:space="preserve">
Loimi Ne 20/2 puuvillalanka
Pirta 60, 2 lankaa piinraossa
Loimi 756 lankaa, leveys pirrassa 63 cm
Palttinakude Ne 16/2 puuvillalanka
Ripsikude värikäs Ne 20/2 puuvillalanka</t>
    </r>
  </si>
  <si>
    <t>Alkuperäinen</t>
  </si>
  <si>
    <t>Raidan tavoiteleveys (kutistamaton kangas)</t>
  </si>
  <si>
    <t>Valmis!</t>
  </si>
  <si>
    <t>Voit tulostaa ohjeen seuraavalta välilehdeltä.</t>
  </si>
  <si>
    <t>Tämä työkirja ei käytä makroja. Jos haluat käyttöön automaattiset laskurit, käytä makrollista versiota.</t>
  </si>
  <si>
    <t xml:space="preserve">1. Määritä esiliinan mitat käsin (voit tehdä muutoksia suoraan lukuihin) </t>
  </si>
  <si>
    <t>-Jos haluat käyttää mittojen laskemiseen automaattista laskuria, käytä tämän ohjeen makrollista versiota.</t>
  </si>
  <si>
    <t>-Kommenteissa (violetti merkki) vinkkejä mittoihin.</t>
  </si>
  <si>
    <t>- Voit muuttaa kuviokertojen määrää, mutta tässä esiliinamallissa se ei välttämättä kannata.</t>
  </si>
  <si>
    <t>mutta jätä viimeinen välipalttina kutomatta</t>
  </si>
  <si>
    <r>
      <t xml:space="preserve">Ripsikuteen tiheys </t>
    </r>
    <r>
      <rPr>
        <b/>
        <sz val="11"/>
        <color rgb="FFFF0000"/>
        <rFont val="Aptos Narrow"/>
        <family val="2"/>
        <scheme val="minor"/>
      </rPr>
      <t>kutistamattomassa kankaassa</t>
    </r>
  </si>
  <si>
    <t>- Taulukko laskee asettamasi prosentin perusteella kudottavan kankaan mitat. Tästä eteenpäin käytetään kutistamattoman kankaan mittoja</t>
  </si>
  <si>
    <t>- Taulukko laskee yhteen kudottavan kankaan pituuden. Tämä luku kertoo suunnilleen, paljonko tarvitset loimea.</t>
  </si>
  <si>
    <t xml:space="preserve">3. TÄYTÄ ripsikuteen tiheys (lankaa sentillä) kutistamattomassa kankaassa. </t>
  </si>
  <si>
    <t xml:space="preserve">- Jos muutat "Oma"-sarakkeessa olevien solujen koodia, taulukko menee rikki. Et siis voi tehdä käsin muutoksia laskettuihin lukuihin. </t>
  </si>
  <si>
    <t>- Jos kuteen tiheys on kovin alhainen mutta raidan tavoiteleveys kapea, pyöristyvät keltaiset ja mustat langat helposti nollaan. Nosta tällöin raidan leveyttä tai kasvata kuteen tiheyttä.</t>
  </si>
  <si>
    <t>Toista reunaraidan vaiheet vielä kaksi kertaa.</t>
  </si>
  <si>
    <t>Esiliinakangas on nyt valmis. Kutista kangas kastelemalla se läpikotaisin. Esiliinaan tarvitset lisäksi:</t>
  </si>
  <si>
    <t xml:space="preserve">- Alkuperäisessä esiliinassa kuteen tiheys on 60 lankaa/cm ja malliesiliinassa 35 lankaa/cm. Nämä ovat kuitenkin kutistetun kankaan tiheyksiä, joten niitä ei kannata tuijottaa liikaa. </t>
  </si>
  <si>
    <t>Tulosteelle päivittyvät esiliinan mitat, joissa on huomiotu tämä pyöristysvirhe. Esiliinan pituus ei siis ole kohdassa 1 laskemasi tavoitepituus, vaan arvio siitä, minkä mittainen esiliina näillä ohjeilla tulee.</t>
  </si>
  <si>
    <t>tavoitepituus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</si>
</sst>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2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sz val="11"/>
      <color theme="0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sz val="11"/>
      <color theme="0" tint="-0.499984740745262"/>
      <name val="Aptos Narrow"/>
      <family val="2"/>
      <scheme val="minor"/>
    </font>
    <font>
      <b/>
      <sz val="11"/>
      <color theme="0" tint="-0.499984740745262"/>
      <name val="Aptos Narrow"/>
      <family val="2"/>
      <scheme val="minor"/>
    </font>
    <font>
      <sz val="26"/>
      <color theme="0"/>
      <name val="Aptos Narrow"/>
      <family val="2"/>
      <scheme val="minor"/>
    </font>
    <font>
      <sz val="24"/>
      <color theme="0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1"/>
      <color rgb="FF7F7F7F"/>
      <name val="Aptos Narrow"/>
      <family val="2"/>
    </font>
    <font>
      <b/>
      <i/>
      <sz val="11"/>
      <color rgb="FF7F7F7F"/>
      <name val="Aptos Narrow"/>
      <family val="2"/>
      <scheme val="minor"/>
    </font>
    <font>
      <sz val="11"/>
      <color theme="1"/>
      <name val="Calibri"/>
      <family val="2"/>
    </font>
    <font>
      <sz val="11"/>
      <color theme="0"/>
      <name val="Calibri"/>
      <family val="2"/>
    </font>
    <font>
      <b/>
      <sz val="11"/>
      <color theme="1"/>
      <name val="Calibri"/>
      <family val="2"/>
    </font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16"/>
      <color theme="1"/>
      <name val="Calibri"/>
      <family val="2"/>
    </font>
    <font>
      <b/>
      <u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color theme="2" tint="-0.499984740745262"/>
      <name val="Aptos Narrow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6F0FA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</borders>
  <cellStyleXfs count="9">
    <xf numFmtId="0" fontId="0" fillId="0" borderId="0"/>
    <xf numFmtId="0" fontId="3" fillId="2" borderId="0" applyNumberFormat="0" applyBorder="0" applyAlignment="0" applyProtection="0"/>
    <xf numFmtId="0" fontId="4" fillId="3" borderId="0" applyNumberFormat="0" applyBorder="0" applyAlignment="0" applyProtection="0"/>
    <xf numFmtId="0" fontId="5" fillId="4" borderId="1" applyNumberFormat="0" applyAlignment="0" applyProtection="0"/>
    <xf numFmtId="0" fontId="6" fillId="5" borderId="2" applyNumberFormat="0" applyAlignment="0" applyProtection="0"/>
    <xf numFmtId="0" fontId="9" fillId="6" borderId="3" applyNumberFormat="0" applyAlignment="0" applyProtection="0"/>
    <xf numFmtId="0" fontId="7" fillId="9" borderId="0" applyNumberFormat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</cellStyleXfs>
  <cellXfs count="94">
    <xf numFmtId="0" fontId="0" fillId="0" borderId="0" xfId="0"/>
    <xf numFmtId="0" fontId="4" fillId="3" borderId="0" xfId="2"/>
    <xf numFmtId="0" fontId="7" fillId="9" borderId="0" xfId="6"/>
    <xf numFmtId="165" fontId="7" fillId="9" borderId="0" xfId="6" applyNumberFormat="1"/>
    <xf numFmtId="0" fontId="0" fillId="10" borderId="0" xfId="0" applyFill="1"/>
    <xf numFmtId="0" fontId="7" fillId="10" borderId="0" xfId="6" applyFill="1"/>
    <xf numFmtId="0" fontId="1" fillId="10" borderId="0" xfId="0" applyFont="1" applyFill="1"/>
    <xf numFmtId="0" fontId="1" fillId="11" borderId="0" xfId="0" applyFont="1" applyFill="1"/>
    <xf numFmtId="0" fontId="0" fillId="11" borderId="0" xfId="0" applyFill="1"/>
    <xf numFmtId="0" fontId="0" fillId="11" borderId="0" xfId="0" applyFill="1" applyAlignment="1">
      <alignment horizontal="right"/>
    </xf>
    <xf numFmtId="0" fontId="1" fillId="11" borderId="0" xfId="0" applyFont="1" applyFill="1" applyAlignment="1">
      <alignment horizontal="right"/>
    </xf>
    <xf numFmtId="0" fontId="1" fillId="11" borderId="0" xfId="0" applyFont="1" applyFill="1" applyAlignment="1">
      <alignment horizontal="left"/>
    </xf>
    <xf numFmtId="164" fontId="5" fillId="4" borderId="1" xfId="3" applyNumberFormat="1"/>
    <xf numFmtId="0" fontId="10" fillId="11" borderId="0" xfId="0" applyFont="1" applyFill="1"/>
    <xf numFmtId="0" fontId="0" fillId="12" borderId="0" xfId="0" applyFill="1"/>
    <xf numFmtId="0" fontId="1" fillId="12" borderId="0" xfId="0" applyFont="1" applyFill="1"/>
    <xf numFmtId="0" fontId="0" fillId="12" borderId="0" xfId="0" applyFill="1" applyAlignment="1">
      <alignment horizontal="left"/>
    </xf>
    <xf numFmtId="0" fontId="4" fillId="3" borderId="0" xfId="2" applyAlignment="1">
      <alignment horizontal="left"/>
    </xf>
    <xf numFmtId="0" fontId="14" fillId="12" borderId="0" xfId="0" applyFont="1" applyFill="1"/>
    <xf numFmtId="0" fontId="0" fillId="11" borderId="4" xfId="0" applyFill="1" applyBorder="1"/>
    <xf numFmtId="0" fontId="10" fillId="11" borderId="5" xfId="0" applyFont="1" applyFill="1" applyBorder="1"/>
    <xf numFmtId="165" fontId="10" fillId="11" borderId="5" xfId="0" applyNumberFormat="1" applyFont="1" applyFill="1" applyBorder="1"/>
    <xf numFmtId="165" fontId="11" fillId="11" borderId="0" xfId="0" applyNumberFormat="1" applyFont="1" applyFill="1"/>
    <xf numFmtId="0" fontId="7" fillId="9" borderId="0" xfId="6" applyAlignment="1">
      <alignment horizontal="right"/>
    </xf>
    <xf numFmtId="0" fontId="5" fillId="4" borderId="1" xfId="3" applyAlignment="1">
      <alignment horizontal="right"/>
    </xf>
    <xf numFmtId="0" fontId="0" fillId="12" borderId="0" xfId="0" applyFill="1" applyAlignment="1">
      <alignment horizontal="left" vertical="top"/>
    </xf>
    <xf numFmtId="0" fontId="7" fillId="9" borderId="0" xfId="6" applyAlignment="1">
      <alignment horizontal="left" vertical="top" textRotation="90"/>
    </xf>
    <xf numFmtId="0" fontId="0" fillId="14" borderId="0" xfId="0" applyFill="1"/>
    <xf numFmtId="0" fontId="8" fillId="13" borderId="0" xfId="0" applyFont="1" applyFill="1"/>
    <xf numFmtId="0" fontId="8" fillId="15" borderId="0" xfId="0" applyFont="1" applyFill="1"/>
    <xf numFmtId="0" fontId="0" fillId="16" borderId="0" xfId="0" applyFill="1"/>
    <xf numFmtId="0" fontId="2" fillId="7" borderId="0" xfId="7"/>
    <xf numFmtId="0" fontId="1" fillId="7" borderId="0" xfId="7" applyFont="1" applyAlignment="1">
      <alignment horizontal="right"/>
    </xf>
    <xf numFmtId="0" fontId="1" fillId="7" borderId="0" xfId="7" applyFont="1"/>
    <xf numFmtId="165" fontId="1" fillId="7" borderId="0" xfId="7" applyNumberFormat="1" applyFont="1"/>
    <xf numFmtId="0" fontId="2" fillId="7" borderId="0" xfId="7" applyAlignment="1">
      <alignment horizontal="right"/>
    </xf>
    <xf numFmtId="0" fontId="2" fillId="12" borderId="0" xfId="7" applyFill="1" applyAlignment="1">
      <alignment horizontal="left"/>
    </xf>
    <xf numFmtId="165" fontId="2" fillId="7" borderId="0" xfId="7" applyNumberFormat="1"/>
    <xf numFmtId="0" fontId="16" fillId="9" borderId="0" xfId="6" applyFont="1"/>
    <xf numFmtId="0" fontId="0" fillId="7" borderId="0" xfId="7" applyFont="1"/>
    <xf numFmtId="0" fontId="17" fillId="0" borderId="0" xfId="0" applyFont="1"/>
    <xf numFmtId="0" fontId="17" fillId="0" borderId="0" xfId="0" applyFont="1" applyAlignment="1">
      <alignment wrapText="1"/>
    </xf>
    <xf numFmtId="0" fontId="18" fillId="13" borderId="0" xfId="0" applyFont="1" applyFill="1"/>
    <xf numFmtId="0" fontId="17" fillId="14" borderId="0" xfId="0" applyFont="1" applyFill="1"/>
    <xf numFmtId="0" fontId="18" fillId="15" borderId="0" xfId="0" applyFont="1" applyFill="1"/>
    <xf numFmtId="0" fontId="17" fillId="16" borderId="0" xfId="0" applyFont="1" applyFill="1"/>
    <xf numFmtId="0" fontId="17" fillId="10" borderId="0" xfId="0" applyFont="1" applyFill="1"/>
    <xf numFmtId="165" fontId="17" fillId="10" borderId="0" xfId="0" applyNumberFormat="1" applyFont="1" applyFill="1"/>
    <xf numFmtId="0" fontId="19" fillId="0" borderId="0" xfId="0" applyFont="1"/>
    <xf numFmtId="0" fontId="20" fillId="11" borderId="0" xfId="0" applyFont="1" applyFill="1"/>
    <xf numFmtId="0" fontId="20" fillId="10" borderId="0" xfId="0" applyFont="1" applyFill="1"/>
    <xf numFmtId="165" fontId="21" fillId="9" borderId="0" xfId="1" applyNumberFormat="1" applyFont="1" applyFill="1"/>
    <xf numFmtId="0" fontId="1" fillId="0" borderId="0" xfId="0" applyFont="1"/>
    <xf numFmtId="0" fontId="22" fillId="0" borderId="0" xfId="0" applyFont="1"/>
    <xf numFmtId="164" fontId="17" fillId="10" borderId="0" xfId="0" applyNumberFormat="1" applyFont="1" applyFill="1"/>
    <xf numFmtId="1" fontId="17" fillId="10" borderId="0" xfId="0" applyNumberFormat="1" applyFont="1" applyFill="1"/>
    <xf numFmtId="0" fontId="0" fillId="12" borderId="0" xfId="0" applyFill="1" applyAlignment="1">
      <alignment horizontal="center"/>
    </xf>
    <xf numFmtId="0" fontId="0" fillId="12" borderId="0" xfId="0" applyFill="1" applyAlignment="1">
      <alignment horizontal="left" vertical="top" wrapText="1"/>
    </xf>
    <xf numFmtId="0" fontId="23" fillId="12" borderId="0" xfId="0" applyFont="1" applyFill="1"/>
    <xf numFmtId="0" fontId="7" fillId="9" borderId="0" xfId="6" applyNumberFormat="1"/>
    <xf numFmtId="0" fontId="7" fillId="12" borderId="0" xfId="6" applyFill="1"/>
    <xf numFmtId="0" fontId="0" fillId="12" borderId="0" xfId="0" quotePrefix="1" applyFill="1" applyAlignment="1">
      <alignment horizontal="left" wrapText="1"/>
    </xf>
    <xf numFmtId="0" fontId="11" fillId="5" borderId="2" xfId="4" applyFont="1"/>
    <xf numFmtId="165" fontId="11" fillId="5" borderId="2" xfId="4" applyNumberFormat="1" applyFont="1"/>
    <xf numFmtId="0" fontId="11" fillId="5" borderId="2" xfId="4" applyFont="1" applyAlignment="1">
      <alignment horizontal="right"/>
    </xf>
    <xf numFmtId="0" fontId="7" fillId="9" borderId="0" xfId="6" applyAlignment="1">
      <alignment textRotation="90"/>
    </xf>
    <xf numFmtId="0" fontId="2" fillId="17" borderId="0" xfId="8" applyFill="1"/>
    <xf numFmtId="0" fontId="7" fillId="17" borderId="0" xfId="6" applyFill="1"/>
    <xf numFmtId="0" fontId="1" fillId="17" borderId="0" xfId="8" applyFont="1" applyFill="1"/>
    <xf numFmtId="0" fontId="2" fillId="17" borderId="0" xfId="8" applyFill="1" applyAlignment="1">
      <alignment vertical="top" wrapText="1"/>
    </xf>
    <xf numFmtId="0" fontId="0" fillId="17" borderId="0" xfId="0" applyFill="1"/>
    <xf numFmtId="0" fontId="0" fillId="17" borderId="0" xfId="0" applyFill="1" applyAlignment="1">
      <alignment vertical="top" wrapText="1"/>
    </xf>
    <xf numFmtId="0" fontId="25" fillId="5" borderId="2" xfId="4" applyFont="1"/>
    <xf numFmtId="0" fontId="5" fillId="4" borderId="1" xfId="3"/>
    <xf numFmtId="165" fontId="6" fillId="5" borderId="2" xfId="4" applyNumberFormat="1"/>
    <xf numFmtId="0" fontId="6" fillId="5" borderId="2" xfId="4"/>
    <xf numFmtId="0" fontId="12" fillId="10" borderId="0" xfId="0" applyFont="1" applyFill="1" applyAlignment="1">
      <alignment horizontal="center" vertical="center"/>
    </xf>
    <xf numFmtId="0" fontId="13" fillId="12" borderId="0" xfId="0" applyFont="1" applyFill="1" applyAlignment="1">
      <alignment horizontal="center" vertical="center" textRotation="90"/>
    </xf>
    <xf numFmtId="0" fontId="6" fillId="5" borderId="2" xfId="4" applyAlignment="1">
      <alignment horizontal="left"/>
    </xf>
    <xf numFmtId="0" fontId="1" fillId="12" borderId="0" xfId="0" applyFont="1" applyFill="1" applyAlignment="1">
      <alignment horizontal="left" wrapText="1"/>
    </xf>
    <xf numFmtId="0" fontId="0" fillId="12" borderId="0" xfId="0" quotePrefix="1" applyFill="1" applyAlignment="1">
      <alignment horizontal="left" vertical="top" wrapText="1"/>
    </xf>
    <xf numFmtId="0" fontId="0" fillId="12" borderId="0" xfId="0" quotePrefix="1" applyFill="1" applyAlignment="1">
      <alignment horizontal="left" wrapText="1"/>
    </xf>
    <xf numFmtId="0" fontId="0" fillId="12" borderId="0" xfId="0" applyFill="1" applyAlignment="1">
      <alignment horizontal="left" wrapText="1"/>
    </xf>
    <xf numFmtId="165" fontId="5" fillId="4" borderId="1" xfId="3" applyNumberFormat="1" applyAlignment="1">
      <alignment horizontal="left"/>
    </xf>
    <xf numFmtId="0" fontId="0" fillId="10" borderId="0" xfId="0" applyFill="1" applyAlignment="1">
      <alignment horizontal="left" wrapText="1"/>
    </xf>
    <xf numFmtId="0" fontId="0" fillId="12" borderId="0" xfId="0" applyFill="1" applyAlignment="1">
      <alignment horizontal="center"/>
    </xf>
    <xf numFmtId="0" fontId="0" fillId="12" borderId="0" xfId="0" applyFill="1" applyAlignment="1">
      <alignment horizontal="left" vertical="top"/>
    </xf>
    <xf numFmtId="0" fontId="0" fillId="12" borderId="0" xfId="0" applyFill="1" applyAlignment="1">
      <alignment horizontal="center" vertical="top"/>
    </xf>
    <xf numFmtId="0" fontId="0" fillId="10" borderId="0" xfId="0" applyFill="1" applyAlignment="1">
      <alignment horizontal="center"/>
    </xf>
    <xf numFmtId="0" fontId="1" fillId="17" borderId="0" xfId="8" applyFont="1" applyFill="1" applyAlignment="1">
      <alignment horizontal="left" wrapText="1"/>
    </xf>
    <xf numFmtId="0" fontId="0" fillId="12" borderId="0" xfId="0" applyFill="1" applyAlignment="1">
      <alignment horizontal="left" vertical="top" wrapText="1"/>
    </xf>
    <xf numFmtId="0" fontId="0" fillId="17" borderId="0" xfId="0" applyFill="1" applyAlignment="1">
      <alignment horizontal="left" vertical="top" wrapText="1"/>
    </xf>
    <xf numFmtId="0" fontId="2" fillId="17" borderId="0" xfId="8" applyFill="1" applyAlignment="1">
      <alignment horizontal="left" vertical="top" wrapText="1"/>
    </xf>
    <xf numFmtId="0" fontId="0" fillId="0" borderId="0" xfId="0" applyAlignment="1">
      <alignment horizontal="left" wrapText="1"/>
    </xf>
  </cellXfs>
  <cellStyles count="9">
    <cellStyle name="20 % - Aksentti1" xfId="7" builtinId="30"/>
    <cellStyle name="20 % - Aksentti4" xfId="8" builtinId="42"/>
    <cellStyle name="Huomautus" xfId="5" builtinId="10" customBuiltin="1"/>
    <cellStyle name="Huono" xfId="2" builtinId="27"/>
    <cellStyle name="Hyvä" xfId="1" builtinId="26"/>
    <cellStyle name="Normaali" xfId="0" builtinId="0"/>
    <cellStyle name="Selittävä teksti" xfId="6" builtinId="53" customBuiltin="1"/>
    <cellStyle name="Syöttö" xfId="3" builtinId="20"/>
    <cellStyle name="Tulostus" xfId="4" builtinId="21"/>
  </cellStyles>
  <dxfs count="13">
    <dxf>
      <font>
        <color rgb="FF9C0006"/>
      </font>
      <fill>
        <patternFill>
          <bgColor rgb="FFFFC7CE"/>
        </patternFill>
      </fill>
    </dxf>
    <dxf>
      <font>
        <color rgb="FFFF0000"/>
      </font>
      <fill>
        <patternFill>
          <bgColor rgb="FFFFCC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  <fill>
        <patternFill>
          <bgColor rgb="FFFFCCCC"/>
        </patternFill>
      </fill>
    </dxf>
  </dxfs>
  <tableStyles count="0" defaultTableStyle="TableStyleMedium2" defaultPivotStyle="PivotStyleMedium9"/>
  <colors>
    <mruColors>
      <color rgb="FFE6F0FA"/>
      <color rgb="FFFFCCCC"/>
      <color rgb="FFFF9999"/>
      <color rgb="FFFF330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3/09/relationships/Python" Target="python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png"/><Relationship Id="rId3" Type="http://schemas.openxmlformats.org/officeDocument/2006/relationships/image" Target="../media/image2.png"/><Relationship Id="rId7" Type="http://schemas.openxmlformats.org/officeDocument/2006/relationships/image" Target="../media/image6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10" Type="http://schemas.openxmlformats.org/officeDocument/2006/relationships/image" Target="../media/image9.png"/><Relationship Id="rId4" Type="http://schemas.openxmlformats.org/officeDocument/2006/relationships/image" Target="../media/image3.png"/><Relationship Id="rId9" Type="http://schemas.openxmlformats.org/officeDocument/2006/relationships/image" Target="../media/image8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png"/><Relationship Id="rId2" Type="http://schemas.openxmlformats.org/officeDocument/2006/relationships/image" Target="../media/image11.png"/><Relationship Id="rId1" Type="http://schemas.openxmlformats.org/officeDocument/2006/relationships/image" Target="../media/image10.png"/><Relationship Id="rId4" Type="http://schemas.openxmlformats.org/officeDocument/2006/relationships/image" Target="../media/image1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133349</xdr:colOff>
      <xdr:row>135</xdr:row>
      <xdr:rowOff>44018</xdr:rowOff>
    </xdr:from>
    <xdr:to>
      <xdr:col>10</xdr:col>
      <xdr:colOff>320964</xdr:colOff>
      <xdr:row>140</xdr:row>
      <xdr:rowOff>19049</xdr:rowOff>
    </xdr:to>
    <xdr:pic>
      <xdr:nvPicPr>
        <xdr:cNvPr id="2" name="Kuva 1">
          <a:extLst>
            <a:ext uri="{FF2B5EF4-FFF2-40B4-BE49-F238E27FC236}">
              <a16:creationId xmlns:a16="http://schemas.microsoft.com/office/drawing/2014/main" id="{C535FDBE-A6DC-B66E-7ED7-8AEC73DBAA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bright="20000"/>
                  </a14:imgEffect>
                </a14:imgLayer>
              </a14:imgProps>
            </a:ext>
          </a:extLst>
        </a:blip>
        <a:srcRect l="35980"/>
        <a:stretch/>
      </xdr:blipFill>
      <xdr:spPr>
        <a:xfrm rot="10800000">
          <a:off x="4276724" y="25999643"/>
          <a:ext cx="911515" cy="927531"/>
        </a:xfrm>
        <a:prstGeom prst="rect">
          <a:avLst/>
        </a:prstGeom>
      </xdr:spPr>
    </xdr:pic>
    <xdr:clientData/>
  </xdr:twoCellAnchor>
  <xdr:twoCellAnchor editAs="oneCell">
    <xdr:from>
      <xdr:col>10</xdr:col>
      <xdr:colOff>381000</xdr:colOff>
      <xdr:row>134</xdr:row>
      <xdr:rowOff>190496</xdr:rowOff>
    </xdr:from>
    <xdr:to>
      <xdr:col>11</xdr:col>
      <xdr:colOff>581963</xdr:colOff>
      <xdr:row>140</xdr:row>
      <xdr:rowOff>57149</xdr:rowOff>
    </xdr:to>
    <xdr:pic>
      <xdr:nvPicPr>
        <xdr:cNvPr id="4" name="Kuva 3">
          <a:extLst>
            <a:ext uri="{FF2B5EF4-FFF2-40B4-BE49-F238E27FC236}">
              <a16:creationId xmlns:a16="http://schemas.microsoft.com/office/drawing/2014/main" id="{FB203585-1631-6BBF-4C0B-398FCBE45B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10800000">
          <a:off x="5248275" y="25955621"/>
          <a:ext cx="1124888" cy="1009653"/>
        </a:xfrm>
        <a:prstGeom prst="rect">
          <a:avLst/>
        </a:prstGeom>
      </xdr:spPr>
    </xdr:pic>
    <xdr:clientData/>
  </xdr:twoCellAnchor>
  <xdr:twoCellAnchor editAs="oneCell">
    <xdr:from>
      <xdr:col>8</xdr:col>
      <xdr:colOff>161924</xdr:colOff>
      <xdr:row>156</xdr:row>
      <xdr:rowOff>79422</xdr:rowOff>
    </xdr:from>
    <xdr:to>
      <xdr:col>10</xdr:col>
      <xdr:colOff>514113</xdr:colOff>
      <xdr:row>159</xdr:row>
      <xdr:rowOff>66537</xdr:rowOff>
    </xdr:to>
    <xdr:pic>
      <xdr:nvPicPr>
        <xdr:cNvPr id="5" name="Kuva 4">
          <a:extLst>
            <a:ext uri="{FF2B5EF4-FFF2-40B4-BE49-F238E27FC236}">
              <a16:creationId xmlns:a16="http://schemas.microsoft.com/office/drawing/2014/main" id="{95B031C4-53EC-5E9B-132B-2EF4F1EEB0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305299" y="30035547"/>
          <a:ext cx="1076089" cy="558615"/>
        </a:xfrm>
        <a:prstGeom prst="rect">
          <a:avLst/>
        </a:prstGeom>
      </xdr:spPr>
    </xdr:pic>
    <xdr:clientData/>
  </xdr:twoCellAnchor>
  <xdr:twoCellAnchor editAs="oneCell">
    <xdr:from>
      <xdr:col>10</xdr:col>
      <xdr:colOff>390525</xdr:colOff>
      <xdr:row>112</xdr:row>
      <xdr:rowOff>0</xdr:rowOff>
    </xdr:from>
    <xdr:to>
      <xdr:col>11</xdr:col>
      <xdr:colOff>557879</xdr:colOff>
      <xdr:row>117</xdr:row>
      <xdr:rowOff>47331</xdr:rowOff>
    </xdr:to>
    <xdr:pic>
      <xdr:nvPicPr>
        <xdr:cNvPr id="20" name="Kuva 19">
          <a:extLst>
            <a:ext uri="{FF2B5EF4-FFF2-40B4-BE49-F238E27FC236}">
              <a16:creationId xmlns:a16="http://schemas.microsoft.com/office/drawing/2014/main" id="{1A91E4BA-55B2-A126-5A9F-292966D9E8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257800" y="21574125"/>
          <a:ext cx="1091279" cy="999831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112</xdr:row>
      <xdr:rowOff>0</xdr:rowOff>
    </xdr:from>
    <xdr:to>
      <xdr:col>10</xdr:col>
      <xdr:colOff>336896</xdr:colOff>
      <xdr:row>117</xdr:row>
      <xdr:rowOff>10751</xdr:rowOff>
    </xdr:to>
    <xdr:pic>
      <xdr:nvPicPr>
        <xdr:cNvPr id="21" name="Kuva 20">
          <a:extLst>
            <a:ext uri="{FF2B5EF4-FFF2-40B4-BE49-F238E27FC236}">
              <a16:creationId xmlns:a16="http://schemas.microsoft.com/office/drawing/2014/main" id="{A1139231-FAD3-66BF-4ECE-2B7DF31905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143375" y="21574125"/>
          <a:ext cx="1060796" cy="963251"/>
        </a:xfrm>
        <a:prstGeom prst="rect">
          <a:avLst/>
        </a:prstGeom>
      </xdr:spPr>
    </xdr:pic>
    <xdr:clientData/>
  </xdr:twoCellAnchor>
  <xdr:twoCellAnchor editAs="oneCell">
    <xdr:from>
      <xdr:col>10</xdr:col>
      <xdr:colOff>238125</xdr:colOff>
      <xdr:row>74</xdr:row>
      <xdr:rowOff>133350</xdr:rowOff>
    </xdr:from>
    <xdr:to>
      <xdr:col>11</xdr:col>
      <xdr:colOff>387189</xdr:colOff>
      <xdr:row>79</xdr:row>
      <xdr:rowOff>138005</xdr:rowOff>
    </xdr:to>
    <xdr:pic>
      <xdr:nvPicPr>
        <xdr:cNvPr id="22" name="Kuva 21">
          <a:extLst>
            <a:ext uri="{FF2B5EF4-FFF2-40B4-BE49-F238E27FC236}">
              <a16:creationId xmlns:a16="http://schemas.microsoft.com/office/drawing/2014/main" id="{1D777F08-4D27-8083-8DC0-1D1B6A6BE9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105400" y="14468475"/>
          <a:ext cx="1072989" cy="95715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75</xdr:row>
      <xdr:rowOff>0</xdr:rowOff>
    </xdr:from>
    <xdr:to>
      <xdr:col>10</xdr:col>
      <xdr:colOff>221062</xdr:colOff>
      <xdr:row>79</xdr:row>
      <xdr:rowOff>54935</xdr:rowOff>
    </xdr:to>
    <xdr:pic>
      <xdr:nvPicPr>
        <xdr:cNvPr id="23" name="Kuva 22">
          <a:extLst>
            <a:ext uri="{FF2B5EF4-FFF2-40B4-BE49-F238E27FC236}">
              <a16:creationId xmlns:a16="http://schemas.microsoft.com/office/drawing/2014/main" id="{2B8632FB-9F36-A5F2-75DC-97BFAAFDF2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143375" y="14525625"/>
          <a:ext cx="944962" cy="816935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56</xdr:row>
      <xdr:rowOff>0</xdr:rowOff>
    </xdr:from>
    <xdr:to>
      <xdr:col>7</xdr:col>
      <xdr:colOff>73691</xdr:colOff>
      <xdr:row>62</xdr:row>
      <xdr:rowOff>112885</xdr:rowOff>
    </xdr:to>
    <xdr:pic>
      <xdr:nvPicPr>
        <xdr:cNvPr id="24" name="Kuva 23">
          <a:extLst>
            <a:ext uri="{FF2B5EF4-FFF2-40B4-BE49-F238E27FC236}">
              <a16:creationId xmlns:a16="http://schemas.microsoft.com/office/drawing/2014/main" id="{EA361F5A-BA32-F107-C8A5-85E1487529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947147" y="10903324"/>
          <a:ext cx="1048603" cy="1255885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56</xdr:row>
      <xdr:rowOff>1</xdr:rowOff>
    </xdr:from>
    <xdr:to>
      <xdr:col>10</xdr:col>
      <xdr:colOff>350252</xdr:colOff>
      <xdr:row>62</xdr:row>
      <xdr:rowOff>123265</xdr:rowOff>
    </xdr:to>
    <xdr:pic>
      <xdr:nvPicPr>
        <xdr:cNvPr id="25" name="Kuva 24">
          <a:extLst>
            <a:ext uri="{FF2B5EF4-FFF2-40B4-BE49-F238E27FC236}">
              <a16:creationId xmlns:a16="http://schemas.microsoft.com/office/drawing/2014/main" id="{8FDC9CE8-D24F-14C2-6643-A408A725A7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146176" y="10903325"/>
          <a:ext cx="1067429" cy="126626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123825</xdr:colOff>
      <xdr:row>14</xdr:row>
      <xdr:rowOff>9525</xdr:rowOff>
    </xdr:from>
    <xdr:to>
      <xdr:col>7</xdr:col>
      <xdr:colOff>76463</xdr:colOff>
      <xdr:row>20</xdr:row>
      <xdr:rowOff>12886</xdr:rowOff>
    </xdr:to>
    <xdr:pic>
      <xdr:nvPicPr>
        <xdr:cNvPr id="2" name="Kuva 1">
          <a:extLst>
            <a:ext uri="{FF2B5EF4-FFF2-40B4-BE49-F238E27FC236}">
              <a16:creationId xmlns:a16="http://schemas.microsoft.com/office/drawing/2014/main" id="{CA63C362-382B-40C2-819D-77CB880032A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39227"/>
        <a:stretch/>
      </xdr:blipFill>
      <xdr:spPr>
        <a:xfrm>
          <a:off x="3409950" y="2295525"/>
          <a:ext cx="1267088" cy="1146361"/>
        </a:xfrm>
        <a:prstGeom prst="rect">
          <a:avLst/>
        </a:prstGeom>
      </xdr:spPr>
    </xdr:pic>
    <xdr:clientData/>
  </xdr:twoCellAnchor>
  <xdr:twoCellAnchor editAs="oneCell">
    <xdr:from>
      <xdr:col>5</xdr:col>
      <xdr:colOff>95251</xdr:colOff>
      <xdr:row>31</xdr:row>
      <xdr:rowOff>85726</xdr:rowOff>
    </xdr:from>
    <xdr:to>
      <xdr:col>7</xdr:col>
      <xdr:colOff>133533</xdr:colOff>
      <xdr:row>38</xdr:row>
      <xdr:rowOff>85725</xdr:rowOff>
    </xdr:to>
    <xdr:pic>
      <xdr:nvPicPr>
        <xdr:cNvPr id="3" name="Kuva 2">
          <a:extLst>
            <a:ext uri="{FF2B5EF4-FFF2-40B4-BE49-F238E27FC236}">
              <a16:creationId xmlns:a16="http://schemas.microsoft.com/office/drawing/2014/main" id="{6888A1E6-E428-44D6-B70E-D08319E9E8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5400000">
          <a:off x="3390992" y="6057810"/>
          <a:ext cx="1333499" cy="1352732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75</xdr:row>
      <xdr:rowOff>0</xdr:rowOff>
    </xdr:from>
    <xdr:to>
      <xdr:col>6</xdr:col>
      <xdr:colOff>562081</xdr:colOff>
      <xdr:row>81</xdr:row>
      <xdr:rowOff>143367</xdr:rowOff>
    </xdr:to>
    <xdr:pic>
      <xdr:nvPicPr>
        <xdr:cNvPr id="4" name="Kuva 3">
          <a:extLst>
            <a:ext uri="{FF2B5EF4-FFF2-40B4-BE49-F238E27FC236}">
              <a16:creationId xmlns:a16="http://schemas.microsoft.com/office/drawing/2014/main" id="{32D9905A-126F-3AC8-D74D-716283A524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286125" y="13982700"/>
          <a:ext cx="1219306" cy="1286367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64</xdr:row>
      <xdr:rowOff>0</xdr:rowOff>
    </xdr:from>
    <xdr:to>
      <xdr:col>6</xdr:col>
      <xdr:colOff>306026</xdr:colOff>
      <xdr:row>66</xdr:row>
      <xdr:rowOff>173784</xdr:rowOff>
    </xdr:to>
    <xdr:pic>
      <xdr:nvPicPr>
        <xdr:cNvPr id="5" name="Kuva 4">
          <a:extLst>
            <a:ext uri="{FF2B5EF4-FFF2-40B4-BE49-F238E27FC236}">
              <a16:creationId xmlns:a16="http://schemas.microsoft.com/office/drawing/2014/main" id="{725799C8-C570-8617-E061-AFDFB0C1C0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286125" y="11887200"/>
          <a:ext cx="963251" cy="554784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Ella Kaplas" id="{ACE7757D-F2AC-445D-8B09-69253A160C7C}" userId="80284307265bd365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9" dT="2024-11-22T08:09:08.73" personId="{ACE7757D-F2AC-445D-8B09-69253A160C7C}" id="{44F31A8F-AB1B-4004-A98E-9309F57219C9}">
    <text>5-7. Alkuperäisessä esiliinassa 7.</text>
  </threadedComment>
  <threadedComment ref="B13" dT="2024-11-22T09:05:28.45" personId="{ACE7757D-F2AC-445D-8B09-69253A160C7C}" id="{5121DB71-55AC-42E0-8585-27D80891E3AE}">
    <text xml:space="preserve">Voi olla esim. välillä 1,2-1,6 cm. Alkuperäisessä esiliinassa 1,6 cm.
</text>
  </threadedComment>
  <threadedComment ref="B14" dT="2024-11-22T09:05:16.97" personId="{ACE7757D-F2AC-445D-8B09-69253A160C7C}" id="{73B0EAE8-3F52-4E80-9124-7F61CF467600}">
    <text>Alkuperäisessä esiliinassa 9,7. Helpoiten säätelet esiliinan pituutta muuttamalla alkupalttinan korkeutta. 
Voit aloittaa kutomisen myös esiliinan helmasta ja päättää alkupalttinan korkeuden vasta, kun tiedät kuinka pitkä raitaosuudesta tuli.</text>
  </threadedComment>
  <threadedComment ref="B15" dT="2024-11-22T09:16:07.33" personId="{ACE7757D-F2AC-445D-8B09-69253A160C7C}" id="{DCC3ABCA-CEC0-4C5B-B1D0-586BE3D7A7B5}">
    <text xml:space="preserve">Alkuperäisessä esiliinassa n. 1,8 cm.
Voit säätää esiliinan pituutta muuttamalla raidan leveyttä. </text>
  </threadedComment>
  <threadedComment ref="B16" dT="2024-11-22T09:12:25.67" personId="{ACE7757D-F2AC-445D-8B09-69253A160C7C}" id="{9907B62F-23C5-4764-B623-F23217A1428C}">
    <text xml:space="preserve">Alkuperäisessä esiliinassa n. 2,8 cm.
Voit säätää esiliinan pituutta muuttamalla raidan leveyttä. </text>
  </threadedComment>
  <threadedComment ref="B17" dT="2024-11-22T09:20:16.38" personId="{ACE7757D-F2AC-445D-8B09-69253A160C7C}" id="{977A9BA5-38B1-4C27-B2C9-516EFF15F315}">
    <text>Alkuperäisessä esiliinassa n. 1,5 cm. Voit helposti säätää esiliinan pituutta muuttamalla välipalttinan leveyttä.</text>
  </threadedComment>
  <threadedComment ref="B18" dT="2024-11-22T09:05:05.36" personId="{ACE7757D-F2AC-445D-8B09-69253A160C7C}" id="{74653097-F93D-49E7-8363-E9DAA7491179}">
    <text>Alkuperäisessä esiliinassa 0,8 cm.</text>
  </threadedComment>
  <threadedComment ref="B19" dT="2024-11-22T09:10:54.79" personId="{ACE7757D-F2AC-445D-8B09-69253A160C7C}" id="{BFC3252E-D039-42F6-BBD7-AC1AEA578621}">
    <text>Alkuperäisessä esiliinassa 1,8 cm.
Huom: reunakaitaleen leveys ei vaikuta esiliinan pituuteen.</text>
  </threadedComment>
  <threadedComment ref="B20" dT="2024-11-22T09:04:42.27" personId="{ACE7757D-F2AC-445D-8B09-69253A160C7C}" id="{FD3DE4F3-11D0-4E72-A1A6-E0732001607A}">
    <text xml:space="preserve">Saumavarat tulevat vyötärökaitaleen ja esiliinakankaan väliseen saumaan sekä sivukaitaleiden ja esiliinakankaan väliseen saumaan. </text>
  </threadedComment>
  <threadedComment ref="B21" dT="2024-11-22T09:04:53.51" personId="{ACE7757D-F2AC-445D-8B09-69253A160C7C}" id="{43D5B29C-4B69-4F8E-AB6E-605E4216CB31}">
    <text>Tähän lasketaan mukaan myös kankaan oikealle puolelle jäävä osa eli siis: jos päärmevara on 1,2 cm, on päärmeen leveys 0,4 cm. Alkuperäisessä esiliinassa päärmeet ovat 0,3-0,4 cm eli päärmevarat ovat silloin olleet 0,9-1,2 cm.
Suositeltava päärmevara 1-1,5 cm.</text>
  </threadedComment>
  <threadedComment ref="D28" dT="2024-11-22T08:57:32.66" personId="{ACE7757D-F2AC-445D-8B09-69253A160C7C}" id="{763F5B42-3268-4E63-85EC-63E2D7FD46F7}">
    <text>Kangas kutistuu puilta otettaessa sekä kun se kastellaan ensimmäisen kerran. Kutistuma riippuu käsialasta ja langoista.</text>
  </threadedComment>
  <threadedComment ref="D74" dT="2024-11-22T12:44:36.18" personId="{ACE7757D-F2AC-445D-8B09-69253A160C7C}" id="{DD44464E-D673-46F6-A5A8-B2A059361475}">
    <text>Jokainen raita on erilainen, joten määrät ovat suurin piirtein arvioita.
Alkuperäisessä esiliinassa myös mustien ja keltaisten rantujen järjestys vaihtelee.</text>
  </threadedComment>
  <threadedComment ref="D102" dT="2024-11-22T12:44:36.18" personId="{ACE7757D-F2AC-445D-8B09-69253A160C7C}" id="{DAC16ED6-37C4-4860-A1FC-F3BF7E6B803F}">
    <text xml:space="preserve">Jokainen raita on erilainen, joten määrät ovat suurin piirtein arvioita.
</text>
  </threadedComment>
  <threadedComment ref="D135" dT="2024-11-22T12:44:36.18" personId="{ACE7757D-F2AC-445D-8B09-69253A160C7C}" id="{A87E4B49-CBD9-4459-A570-3113A6448143}">
    <text xml:space="preserve">Jokainen raita on erilainen, joten määrät ovat suurin piirtein arvioita.
</text>
  </threadedComment>
  <threadedComment ref="D161" dT="2024-11-22T12:44:36.18" personId="{ACE7757D-F2AC-445D-8B09-69253A160C7C}" id="{20AF7DD0-349B-4391-A81B-3EE3394B9530}">
    <text xml:space="preserve">Jokainen raita on erilainen, joten määrät ovat suurin piirtein arvioita.
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849E9-8354-413E-A182-A4A698808A08}">
  <sheetPr codeName="Taul1"/>
  <dimension ref="A1:L180"/>
  <sheetViews>
    <sheetView tabSelected="1" view="pageLayout" zoomScale="85" zoomScaleNormal="85" zoomScalePageLayoutView="85" workbookViewId="0">
      <selection activeCell="D9" sqref="D9"/>
    </sheetView>
  </sheetViews>
  <sheetFormatPr defaultRowHeight="15" x14ac:dyDescent="0.25"/>
  <cols>
    <col min="2" max="2" width="20" customWidth="1"/>
    <col min="3" max="3" width="4.85546875" customWidth="1"/>
    <col min="4" max="4" width="7" customWidth="1"/>
    <col min="5" max="5" width="9.140625" hidden="1" customWidth="1"/>
    <col min="6" max="6" width="6.7109375" customWidth="1"/>
    <col min="7" max="7" width="6.85546875" customWidth="1"/>
    <col min="8" max="8" width="3.140625" customWidth="1"/>
    <col min="9" max="9" width="7.5703125" customWidth="1"/>
    <col min="10" max="10" width="2.5703125" customWidth="1"/>
    <col min="11" max="11" width="12.85546875" customWidth="1"/>
  </cols>
  <sheetData>
    <row r="1" spans="1:12" ht="18.75" customHeight="1" x14ac:dyDescent="0.3">
      <c r="A1" s="77" t="s">
        <v>27</v>
      </c>
      <c r="B1" s="18" t="s">
        <v>31</v>
      </c>
      <c r="C1" s="14"/>
      <c r="D1" s="14"/>
      <c r="E1" s="2"/>
      <c r="F1" s="14"/>
      <c r="G1" s="14"/>
      <c r="H1" s="14"/>
      <c r="I1" s="14"/>
      <c r="J1" s="14"/>
      <c r="K1" s="14"/>
      <c r="L1" s="14"/>
    </row>
    <row r="2" spans="1:12" ht="15" customHeight="1" x14ac:dyDescent="0.25">
      <c r="A2" s="77"/>
      <c r="B2" s="15"/>
      <c r="C2" s="14"/>
      <c r="D2" s="14"/>
      <c r="E2" s="65" t="s">
        <v>30</v>
      </c>
      <c r="F2" s="85"/>
      <c r="G2" s="82" t="s">
        <v>67</v>
      </c>
      <c r="H2" s="82"/>
      <c r="I2" s="82"/>
      <c r="J2" s="82"/>
      <c r="K2" s="82"/>
      <c r="L2" s="14"/>
    </row>
    <row r="3" spans="1:12" x14ac:dyDescent="0.25">
      <c r="A3" s="77"/>
      <c r="B3" s="83" t="s">
        <v>41</v>
      </c>
      <c r="C3" s="83"/>
      <c r="D3" s="56"/>
      <c r="E3" s="65"/>
      <c r="F3" s="85"/>
      <c r="G3" s="82"/>
      <c r="H3" s="82"/>
      <c r="I3" s="82"/>
      <c r="J3" s="82"/>
      <c r="K3" s="82"/>
      <c r="L3" s="14"/>
    </row>
    <row r="4" spans="1:12" x14ac:dyDescent="0.25">
      <c r="A4" s="77"/>
      <c r="B4" s="78" t="s">
        <v>40</v>
      </c>
      <c r="C4" s="78"/>
      <c r="D4" s="14"/>
      <c r="E4" s="65"/>
      <c r="F4" s="85"/>
      <c r="G4" s="82"/>
      <c r="H4" s="82"/>
      <c r="I4" s="82"/>
      <c r="J4" s="82"/>
      <c r="K4" s="82"/>
      <c r="L4" s="14"/>
    </row>
    <row r="5" spans="1:12" x14ac:dyDescent="0.25">
      <c r="A5" s="77"/>
      <c r="B5" s="17" t="s">
        <v>28</v>
      </c>
      <c r="C5" s="16"/>
      <c r="D5" s="14"/>
      <c r="E5" s="65"/>
      <c r="F5" s="85"/>
      <c r="G5" s="14"/>
      <c r="H5" s="14"/>
      <c r="I5" s="14"/>
      <c r="J5" s="14"/>
      <c r="K5" s="14"/>
      <c r="L5" s="14"/>
    </row>
    <row r="6" spans="1:12" x14ac:dyDescent="0.25">
      <c r="A6" s="77"/>
      <c r="B6" s="36"/>
      <c r="C6" s="16"/>
      <c r="D6" s="14"/>
      <c r="E6" s="65"/>
      <c r="F6" s="85"/>
      <c r="G6" s="14"/>
      <c r="H6" s="14"/>
      <c r="I6" s="14"/>
      <c r="J6" s="14"/>
      <c r="K6" s="14"/>
      <c r="L6" s="14"/>
    </row>
    <row r="7" spans="1:12" x14ac:dyDescent="0.25">
      <c r="A7" s="77"/>
      <c r="B7" s="14"/>
      <c r="C7" s="14"/>
      <c r="D7" s="14"/>
      <c r="E7" s="65"/>
      <c r="F7" s="85"/>
      <c r="G7" s="14"/>
      <c r="H7" s="14"/>
      <c r="I7" s="14"/>
      <c r="J7" s="14"/>
      <c r="K7" s="14"/>
      <c r="L7" s="14"/>
    </row>
    <row r="8" spans="1:12" x14ac:dyDescent="0.25">
      <c r="A8" s="4"/>
      <c r="B8" s="4"/>
      <c r="C8" s="4"/>
      <c r="D8" s="4"/>
      <c r="E8" s="4"/>
      <c r="F8" s="4"/>
      <c r="G8" s="58" t="s">
        <v>27</v>
      </c>
      <c r="H8" s="14"/>
      <c r="I8" s="14"/>
      <c r="J8" s="14"/>
      <c r="K8" s="14"/>
      <c r="L8" s="14"/>
    </row>
    <row r="9" spans="1:12" ht="15" customHeight="1" x14ac:dyDescent="0.25">
      <c r="A9" s="4"/>
      <c r="B9" s="6" t="s">
        <v>17</v>
      </c>
      <c r="C9" s="4"/>
      <c r="D9" s="73">
        <v>7</v>
      </c>
      <c r="E9" s="2"/>
      <c r="F9" s="4"/>
      <c r="G9" s="79" t="s">
        <v>68</v>
      </c>
      <c r="H9" s="79"/>
      <c r="I9" s="79"/>
      <c r="J9" s="79"/>
      <c r="K9" s="79"/>
      <c r="L9" s="14"/>
    </row>
    <row r="10" spans="1:12" x14ac:dyDescent="0.25">
      <c r="A10" s="4"/>
      <c r="B10" s="4"/>
      <c r="C10" s="4"/>
      <c r="D10" s="4"/>
      <c r="E10" s="2"/>
      <c r="F10" s="4"/>
      <c r="G10" s="79"/>
      <c r="H10" s="79"/>
      <c r="I10" s="79"/>
      <c r="J10" s="79"/>
      <c r="K10" s="79"/>
      <c r="L10" s="14"/>
    </row>
    <row r="11" spans="1:12" ht="16.5" customHeight="1" x14ac:dyDescent="0.25">
      <c r="A11" s="76">
        <v>1</v>
      </c>
      <c r="B11" s="33" t="s">
        <v>26</v>
      </c>
      <c r="C11" s="33"/>
      <c r="D11" s="33" t="s">
        <v>14</v>
      </c>
      <c r="E11" s="2"/>
      <c r="F11" s="4"/>
      <c r="G11" s="80" t="s">
        <v>70</v>
      </c>
      <c r="H11" s="80"/>
      <c r="I11" s="80"/>
      <c r="J11" s="80"/>
      <c r="K11" s="80"/>
      <c r="L11" s="14"/>
    </row>
    <row r="12" spans="1:12" x14ac:dyDescent="0.25">
      <c r="A12" s="76"/>
      <c r="B12" s="33" t="s">
        <v>15</v>
      </c>
      <c r="C12" s="33"/>
      <c r="D12" s="33" t="s">
        <v>35</v>
      </c>
      <c r="E12" s="2"/>
      <c r="F12" s="4"/>
      <c r="G12" s="80"/>
      <c r="H12" s="80"/>
      <c r="I12" s="80"/>
      <c r="J12" s="80"/>
      <c r="K12" s="80"/>
      <c r="L12" s="14"/>
    </row>
    <row r="13" spans="1:12" ht="15" customHeight="1" x14ac:dyDescent="0.25">
      <c r="A13" s="76"/>
      <c r="B13" s="31" t="s">
        <v>13</v>
      </c>
      <c r="C13" s="31"/>
      <c r="D13" s="73">
        <v>1.6</v>
      </c>
      <c r="E13" s="2"/>
      <c r="F13" s="4"/>
      <c r="G13" s="81" t="s">
        <v>71</v>
      </c>
      <c r="H13" s="81"/>
      <c r="I13" s="81"/>
      <c r="J13" s="81"/>
      <c r="K13" s="81"/>
      <c r="L13" s="14"/>
    </row>
    <row r="14" spans="1:12" x14ac:dyDescent="0.25">
      <c r="A14" s="4"/>
      <c r="B14" s="31" t="s">
        <v>0</v>
      </c>
      <c r="C14" s="31"/>
      <c r="D14" s="73">
        <v>9.8000000000000007</v>
      </c>
      <c r="E14" s="2"/>
      <c r="F14" s="4"/>
      <c r="G14" s="81"/>
      <c r="H14" s="81"/>
      <c r="I14" s="81"/>
      <c r="J14" s="81"/>
      <c r="K14" s="81"/>
      <c r="L14" s="14"/>
    </row>
    <row r="15" spans="1:12" ht="15" customHeight="1" x14ac:dyDescent="0.25">
      <c r="A15" s="4"/>
      <c r="B15" s="31" t="s">
        <v>4</v>
      </c>
      <c r="C15" s="31"/>
      <c r="D15" s="73">
        <v>1.8</v>
      </c>
      <c r="E15" s="2"/>
      <c r="F15" s="4"/>
      <c r="G15" s="81"/>
      <c r="H15" s="81"/>
      <c r="I15" s="81"/>
      <c r="J15" s="81"/>
      <c r="K15" s="81"/>
      <c r="L15" s="14"/>
    </row>
    <row r="16" spans="1:12" ht="15" customHeight="1" x14ac:dyDescent="0.25">
      <c r="A16" s="4"/>
      <c r="B16" s="31" t="s">
        <v>5</v>
      </c>
      <c r="C16" s="31"/>
      <c r="D16" s="73">
        <v>2.8</v>
      </c>
      <c r="E16" s="2"/>
      <c r="F16" s="4"/>
      <c r="G16" s="81" t="s">
        <v>69</v>
      </c>
      <c r="H16" s="81"/>
      <c r="I16" s="81"/>
      <c r="J16" s="81"/>
      <c r="K16" s="81"/>
      <c r="L16" s="14"/>
    </row>
    <row r="17" spans="1:12" ht="15" customHeight="1" x14ac:dyDescent="0.25">
      <c r="A17" s="4"/>
      <c r="B17" s="31" t="s">
        <v>3</v>
      </c>
      <c r="C17" s="31"/>
      <c r="D17" s="73">
        <v>1.5</v>
      </c>
      <c r="E17" s="2"/>
      <c r="F17" s="4"/>
      <c r="G17" s="81"/>
      <c r="H17" s="81"/>
      <c r="I17" s="81"/>
      <c r="J17" s="81"/>
      <c r="K17" s="81"/>
      <c r="L17" s="14"/>
    </row>
    <row r="18" spans="1:12" x14ac:dyDescent="0.25">
      <c r="A18" s="4"/>
      <c r="B18" s="31" t="s">
        <v>19</v>
      </c>
      <c r="C18" s="31"/>
      <c r="D18" s="73">
        <v>1</v>
      </c>
      <c r="E18" s="2"/>
      <c r="F18" s="4"/>
      <c r="G18" s="81"/>
      <c r="H18" s="81"/>
      <c r="I18" s="81"/>
      <c r="J18" s="81"/>
      <c r="K18" s="81"/>
      <c r="L18" s="14"/>
    </row>
    <row r="19" spans="1:12" x14ac:dyDescent="0.25">
      <c r="A19" s="4"/>
      <c r="B19" s="39" t="s">
        <v>45</v>
      </c>
      <c r="C19" s="31"/>
      <c r="D19" s="73">
        <v>1.8</v>
      </c>
      <c r="E19" s="2"/>
      <c r="F19" s="4"/>
      <c r="G19" s="81"/>
      <c r="H19" s="81"/>
      <c r="I19" s="81"/>
      <c r="J19" s="81"/>
      <c r="K19" s="81"/>
      <c r="L19" s="14"/>
    </row>
    <row r="20" spans="1:12" ht="15" customHeight="1" x14ac:dyDescent="0.25">
      <c r="A20" s="4"/>
      <c r="B20" s="31" t="s">
        <v>20</v>
      </c>
      <c r="C20" s="31"/>
      <c r="D20" s="73">
        <v>1</v>
      </c>
      <c r="E20" s="2"/>
      <c r="F20" s="4"/>
      <c r="G20" s="14"/>
      <c r="H20" s="14"/>
      <c r="I20" s="14"/>
      <c r="J20" s="14"/>
      <c r="K20" s="14"/>
      <c r="L20" s="14"/>
    </row>
    <row r="21" spans="1:12" x14ac:dyDescent="0.25">
      <c r="A21" s="4"/>
      <c r="B21" s="31" t="s">
        <v>21</v>
      </c>
      <c r="C21" s="31"/>
      <c r="D21" s="73">
        <v>1.2</v>
      </c>
      <c r="E21" s="2"/>
      <c r="F21" s="4"/>
      <c r="G21" s="14"/>
      <c r="H21" s="14"/>
      <c r="I21" s="14"/>
      <c r="J21" s="14"/>
      <c r="K21" s="14"/>
      <c r="L21" s="14"/>
    </row>
    <row r="22" spans="1:12" x14ac:dyDescent="0.25">
      <c r="A22" s="4"/>
      <c r="B22" s="31" t="s">
        <v>1</v>
      </c>
      <c r="C22" s="31"/>
      <c r="D22" s="73">
        <v>2</v>
      </c>
      <c r="E22" s="2"/>
      <c r="F22" s="4"/>
      <c r="G22" s="14"/>
      <c r="H22" s="14"/>
      <c r="I22" s="14"/>
      <c r="J22" s="14"/>
      <c r="K22" s="14"/>
      <c r="L22" s="14"/>
    </row>
    <row r="23" spans="1:12" ht="15" customHeight="1" x14ac:dyDescent="0.25">
      <c r="A23" s="4"/>
      <c r="B23" s="31" t="s">
        <v>2</v>
      </c>
      <c r="C23" s="31"/>
      <c r="D23" s="73">
        <v>2.5</v>
      </c>
      <c r="E23" s="2"/>
      <c r="F23" s="4"/>
      <c r="G23" s="14"/>
      <c r="H23" s="14"/>
      <c r="I23" s="14"/>
      <c r="J23" s="14"/>
      <c r="K23" s="14"/>
      <c r="L23" s="14"/>
    </row>
    <row r="24" spans="1:12" x14ac:dyDescent="0.25">
      <c r="A24" s="4"/>
      <c r="B24" s="32" t="s">
        <v>83</v>
      </c>
      <c r="C24" s="33"/>
      <c r="D24" s="34">
        <f>SUM(D13+D14+(D15+D16+D17*2)*D9-D17+D18+D21/3+D22+D23)</f>
        <v>69</v>
      </c>
      <c r="E24" s="2">
        <f>D13+D14+(D15+D16+D17*2)*D9-D17+D18+D21/3+D22+D23</f>
        <v>69</v>
      </c>
      <c r="F24" s="4"/>
      <c r="G24" s="14"/>
      <c r="H24" s="14"/>
      <c r="I24" s="14"/>
      <c r="J24" s="14"/>
      <c r="K24" s="14"/>
      <c r="L24" s="14"/>
    </row>
    <row r="25" spans="1:12" x14ac:dyDescent="0.25">
      <c r="A25" s="4"/>
      <c r="B25" s="4"/>
      <c r="C25" s="4"/>
      <c r="D25" s="4"/>
      <c r="E25" s="2"/>
      <c r="F25" s="4"/>
      <c r="G25" s="79" t="s">
        <v>60</v>
      </c>
      <c r="H25" s="79"/>
      <c r="I25" s="79"/>
      <c r="J25" s="79"/>
      <c r="K25" s="79"/>
      <c r="L25" s="14"/>
    </row>
    <row r="26" spans="1:12" x14ac:dyDescent="0.25">
      <c r="A26" s="4"/>
      <c r="B26" s="4"/>
      <c r="C26" s="4"/>
      <c r="D26" s="4"/>
      <c r="E26" s="2"/>
      <c r="F26" s="4"/>
      <c r="G26" s="79"/>
      <c r="H26" s="79"/>
      <c r="I26" s="79"/>
      <c r="J26" s="79"/>
      <c r="K26" s="79"/>
      <c r="L26" s="14"/>
    </row>
    <row r="27" spans="1:12" ht="15" customHeight="1" x14ac:dyDescent="0.25">
      <c r="A27" s="76">
        <v>2</v>
      </c>
      <c r="B27" s="7" t="s">
        <v>58</v>
      </c>
      <c r="C27" s="8"/>
      <c r="D27" s="7" t="s">
        <v>12</v>
      </c>
      <c r="E27" s="2"/>
      <c r="F27" s="4"/>
      <c r="G27" s="79"/>
      <c r="H27" s="79"/>
      <c r="I27" s="79"/>
      <c r="J27" s="79"/>
      <c r="K27" s="79"/>
      <c r="L27" s="14"/>
    </row>
    <row r="28" spans="1:12" x14ac:dyDescent="0.25">
      <c r="A28" s="76"/>
      <c r="B28" s="7"/>
      <c r="C28" s="9" t="s">
        <v>29</v>
      </c>
      <c r="D28" s="12">
        <v>7.0000000000000007E-2</v>
      </c>
      <c r="E28" s="2"/>
      <c r="F28" s="4"/>
      <c r="G28" s="79" t="s">
        <v>61</v>
      </c>
      <c r="H28" s="79"/>
      <c r="I28" s="79"/>
      <c r="J28" s="79"/>
      <c r="K28" s="79"/>
      <c r="L28" s="14"/>
    </row>
    <row r="29" spans="1:12" x14ac:dyDescent="0.25">
      <c r="A29" s="76"/>
      <c r="B29" s="19" t="s">
        <v>13</v>
      </c>
      <c r="C29" s="20">
        <f>D13*2+D20*2</f>
        <v>5.2</v>
      </c>
      <c r="D29" s="74">
        <f>ROUND(C29+C29*$D$28,1)</f>
        <v>5.6</v>
      </c>
      <c r="E29" s="2">
        <f>C29</f>
        <v>5.2</v>
      </c>
      <c r="F29" s="4"/>
      <c r="G29" s="79"/>
      <c r="H29" s="79"/>
      <c r="I29" s="79"/>
      <c r="J29" s="79"/>
      <c r="K29" s="79"/>
      <c r="L29" s="14"/>
    </row>
    <row r="30" spans="1:12" ht="15" customHeight="1" x14ac:dyDescent="0.25">
      <c r="A30" s="4"/>
      <c r="B30" s="19" t="s">
        <v>16</v>
      </c>
      <c r="C30" s="21">
        <f>D20</f>
        <v>1</v>
      </c>
      <c r="D30" s="74">
        <f>ROUND(C30+C30*$D$28,1)</f>
        <v>1.1000000000000001</v>
      </c>
      <c r="E30" s="3">
        <f>C30</f>
        <v>1</v>
      </c>
      <c r="F30" s="4"/>
      <c r="G30" s="80" t="s">
        <v>74</v>
      </c>
      <c r="H30" s="90"/>
      <c r="I30" s="90"/>
      <c r="J30" s="90"/>
      <c r="K30" s="90"/>
      <c r="L30" s="14"/>
    </row>
    <row r="31" spans="1:12" x14ac:dyDescent="0.25">
      <c r="A31" s="4"/>
      <c r="B31" s="19" t="s">
        <v>0</v>
      </c>
      <c r="C31" s="21">
        <f>D14</f>
        <v>9.8000000000000007</v>
      </c>
      <c r="D31" s="74">
        <f>ROUND(C31+C31*$D$28,1)</f>
        <v>10.5</v>
      </c>
      <c r="E31" s="3">
        <f>C31</f>
        <v>9.8000000000000007</v>
      </c>
      <c r="F31" s="4"/>
      <c r="G31" s="90"/>
      <c r="H31" s="90"/>
      <c r="I31" s="90"/>
      <c r="J31" s="90"/>
      <c r="K31" s="90"/>
      <c r="L31" s="14"/>
    </row>
    <row r="32" spans="1:12" x14ac:dyDescent="0.25">
      <c r="A32" s="4"/>
      <c r="B32" s="8"/>
      <c r="C32" s="13"/>
      <c r="D32" s="49"/>
      <c r="E32" s="2"/>
      <c r="F32" s="4"/>
      <c r="G32" s="90"/>
      <c r="H32" s="90"/>
      <c r="I32" s="90"/>
      <c r="J32" s="90"/>
      <c r="K32" s="90"/>
      <c r="L32" s="14"/>
    </row>
    <row r="33" spans="1:12" x14ac:dyDescent="0.25">
      <c r="A33" s="4"/>
      <c r="B33" s="19" t="s">
        <v>4</v>
      </c>
      <c r="C33" s="21">
        <f>D15</f>
        <v>1.8</v>
      </c>
      <c r="D33" s="74">
        <f>ROUND(C33+C33*$D$28,1)</f>
        <v>1.9</v>
      </c>
      <c r="E33" s="2"/>
      <c r="F33" s="4"/>
      <c r="G33" s="90"/>
      <c r="H33" s="90"/>
      <c r="I33" s="90"/>
      <c r="J33" s="90"/>
      <c r="K33" s="90"/>
      <c r="L33" s="14"/>
    </row>
    <row r="34" spans="1:12" ht="15.75" customHeight="1" x14ac:dyDescent="0.25">
      <c r="A34" s="4"/>
      <c r="B34" s="19" t="s">
        <v>3</v>
      </c>
      <c r="C34" s="21">
        <f>D17</f>
        <v>1.5</v>
      </c>
      <c r="D34" s="74">
        <f>ROUND(C34+C34*$D$28,1)</f>
        <v>1.6</v>
      </c>
      <c r="E34" s="2"/>
      <c r="F34" s="4"/>
      <c r="G34" s="80" t="s">
        <v>75</v>
      </c>
      <c r="H34" s="90"/>
      <c r="I34" s="90"/>
      <c r="J34" s="90"/>
      <c r="K34" s="90"/>
      <c r="L34" s="14"/>
    </row>
    <row r="35" spans="1:12" x14ac:dyDescent="0.25">
      <c r="A35" s="4"/>
      <c r="B35" s="19" t="s">
        <v>5</v>
      </c>
      <c r="C35" s="21">
        <f>D16</f>
        <v>2.8</v>
      </c>
      <c r="D35" s="74">
        <f>ROUND(C35+C35*$D$28,1)</f>
        <v>3</v>
      </c>
      <c r="E35" s="2"/>
      <c r="F35" s="4"/>
      <c r="G35" s="90"/>
      <c r="H35" s="90"/>
      <c r="I35" s="90"/>
      <c r="J35" s="90"/>
      <c r="K35" s="90"/>
      <c r="L35" s="14"/>
    </row>
    <row r="36" spans="1:12" x14ac:dyDescent="0.25">
      <c r="A36" s="4"/>
      <c r="B36" s="19" t="s">
        <v>3</v>
      </c>
      <c r="C36" s="21">
        <f>D17</f>
        <v>1.5</v>
      </c>
      <c r="D36" s="74">
        <f>ROUND(C36+C36*$D$28,1)</f>
        <v>1.6</v>
      </c>
      <c r="E36" s="2"/>
      <c r="F36" s="4"/>
      <c r="G36" s="90"/>
      <c r="H36" s="90"/>
      <c r="I36" s="90"/>
      <c r="J36" s="90"/>
      <c r="K36" s="90"/>
      <c r="L36" s="14"/>
    </row>
    <row r="37" spans="1:12" ht="15" customHeight="1" x14ac:dyDescent="0.25">
      <c r="A37" s="4"/>
      <c r="B37" s="10" t="s">
        <v>22</v>
      </c>
      <c r="C37" s="11">
        <f>D9-1</f>
        <v>6</v>
      </c>
      <c r="D37" s="1" t="s">
        <v>72</v>
      </c>
      <c r="E37" s="1">
        <f>SUM(C33:C36)*D9-C36</f>
        <v>51.699999999999996</v>
      </c>
      <c r="F37" s="1"/>
      <c r="G37" s="1"/>
      <c r="H37" s="1"/>
      <c r="I37" s="1"/>
      <c r="J37" s="1"/>
      <c r="K37" s="1"/>
      <c r="L37" s="14"/>
    </row>
    <row r="38" spans="1:12" ht="15.75" customHeight="1" x14ac:dyDescent="0.25">
      <c r="A38" s="4"/>
      <c r="B38" s="19" t="s">
        <v>23</v>
      </c>
      <c r="C38" s="20">
        <f>0.6*D18</f>
        <v>0.6</v>
      </c>
      <c r="D38" s="74">
        <f>ROUND(C38+C38*$D$28,1)</f>
        <v>0.6</v>
      </c>
      <c r="E38" s="2">
        <f>C38</f>
        <v>0.6</v>
      </c>
      <c r="F38" s="4"/>
      <c r="G38" s="90" t="str">
        <f>"- Pyöristyksen takia kankaan kokonaispituus saattaa vähän heittää. Tässä kankaassa kullekin osalle on laskettu "&amp;(D28*100)&amp;" %:n kutistuminen. Koko kankaalle se tekee "&amp;E47&amp;" %."</f>
        <v>- Pyöristyksen takia kankaan kokonaispituus saattaa vähän heittää. Tässä kankaassa kullekin osalle on laskettu 7 %:n kutistuminen. Koko kankaalle se tekee 6,5 %.</v>
      </c>
      <c r="H38" s="90"/>
      <c r="I38" s="90"/>
      <c r="J38" s="90"/>
      <c r="K38" s="90"/>
      <c r="L38" s="14"/>
    </row>
    <row r="39" spans="1:12" x14ac:dyDescent="0.25">
      <c r="A39" s="4"/>
      <c r="B39" s="19" t="s">
        <v>6</v>
      </c>
      <c r="C39" s="20">
        <f>0.4*D18</f>
        <v>0.4</v>
      </c>
      <c r="D39" s="74">
        <f>ROUND(C39+C39*$D$28,1)</f>
        <v>0.4</v>
      </c>
      <c r="E39" s="2">
        <f>C39</f>
        <v>0.4</v>
      </c>
      <c r="F39" s="4"/>
      <c r="G39" s="90"/>
      <c r="H39" s="90"/>
      <c r="I39" s="90"/>
      <c r="J39" s="90"/>
      <c r="K39" s="90"/>
      <c r="L39" s="14"/>
    </row>
    <row r="40" spans="1:12" x14ac:dyDescent="0.25">
      <c r="A40" s="4"/>
      <c r="B40" s="19" t="s">
        <v>7</v>
      </c>
      <c r="C40" s="21">
        <f>$D$21</f>
        <v>1.2</v>
      </c>
      <c r="D40" s="74">
        <f>ROUND(C40+C40*$D$28,1)</f>
        <v>1.3</v>
      </c>
      <c r="E40" s="3">
        <f>C40</f>
        <v>1.2</v>
      </c>
      <c r="F40" s="4"/>
      <c r="G40" s="90"/>
      <c r="H40" s="90"/>
      <c r="I40" s="90"/>
      <c r="J40" s="90"/>
      <c r="K40" s="90"/>
      <c r="L40" s="14"/>
    </row>
    <row r="41" spans="1:12" x14ac:dyDescent="0.25">
      <c r="A41" s="4"/>
      <c r="B41" s="8"/>
      <c r="C41" s="13"/>
      <c r="D41" s="49"/>
      <c r="E41" s="2"/>
      <c r="F41" s="4"/>
      <c r="G41" s="90"/>
      <c r="H41" s="90"/>
      <c r="I41" s="90"/>
      <c r="J41" s="90"/>
      <c r="K41" s="90"/>
      <c r="L41" s="14"/>
    </row>
    <row r="42" spans="1:12" x14ac:dyDescent="0.25">
      <c r="A42" s="4"/>
      <c r="B42" s="19" t="s">
        <v>16</v>
      </c>
      <c r="C42" s="21">
        <f>$D$20</f>
        <v>1</v>
      </c>
      <c r="D42" s="74">
        <f>ROUND(C42+C42*$D$28,1)</f>
        <v>1.1000000000000001</v>
      </c>
      <c r="E42" s="2"/>
      <c r="F42" s="4"/>
      <c r="G42" s="90"/>
      <c r="H42" s="90"/>
      <c r="I42" s="90"/>
      <c r="J42" s="90"/>
      <c r="K42" s="90"/>
      <c r="L42" s="14"/>
    </row>
    <row r="43" spans="1:12" x14ac:dyDescent="0.25">
      <c r="A43" s="4"/>
      <c r="B43" s="19" t="s">
        <v>18</v>
      </c>
      <c r="C43" s="21">
        <f>D19-C44/3</f>
        <v>1.4000000000000001</v>
      </c>
      <c r="D43" s="74">
        <f>ROUND(C43+C43*$D$28,1)</f>
        <v>1.5</v>
      </c>
      <c r="E43" s="2"/>
      <c r="F43" s="4"/>
      <c r="G43" s="90"/>
      <c r="H43" s="90"/>
      <c r="I43" s="90"/>
      <c r="J43" s="90"/>
      <c r="K43" s="90"/>
      <c r="L43" s="14"/>
    </row>
    <row r="44" spans="1:12" x14ac:dyDescent="0.25">
      <c r="A44" s="4"/>
      <c r="B44" s="19" t="s">
        <v>7</v>
      </c>
      <c r="C44" s="21">
        <f>$D$21</f>
        <v>1.2</v>
      </c>
      <c r="D44" s="74">
        <f>ROUND(C44+C44*$D$28,1)</f>
        <v>1.3</v>
      </c>
      <c r="E44" s="2"/>
      <c r="F44" s="4"/>
      <c r="G44" s="90"/>
      <c r="H44" s="90"/>
      <c r="I44" s="90"/>
      <c r="J44" s="90"/>
      <c r="K44" s="90"/>
      <c r="L44" s="14"/>
    </row>
    <row r="45" spans="1:12" x14ac:dyDescent="0.25">
      <c r="A45" s="4"/>
      <c r="B45" s="10" t="s">
        <v>22</v>
      </c>
      <c r="C45" s="11">
        <v>2</v>
      </c>
      <c r="D45" s="8"/>
      <c r="E45" s="2">
        <f>SUM(C42:C44)*3</f>
        <v>10.8</v>
      </c>
      <c r="F45" s="4"/>
      <c r="G45" s="14"/>
      <c r="H45" s="14"/>
      <c r="I45" s="14"/>
      <c r="J45" s="14"/>
      <c r="K45" s="14"/>
      <c r="L45" s="14"/>
    </row>
    <row r="46" spans="1:12" x14ac:dyDescent="0.25">
      <c r="A46" s="4"/>
      <c r="B46" s="4"/>
      <c r="C46" s="4"/>
      <c r="D46" s="4"/>
      <c r="E46" s="5"/>
      <c r="F46" s="50"/>
      <c r="G46" s="14"/>
      <c r="H46" s="14"/>
      <c r="I46" s="14"/>
      <c r="J46" s="14"/>
      <c r="K46" s="14"/>
      <c r="L46" s="14"/>
    </row>
    <row r="47" spans="1:12" x14ac:dyDescent="0.25">
      <c r="A47" s="4"/>
      <c r="B47" s="7" t="s">
        <v>24</v>
      </c>
      <c r="C47" s="22">
        <f>SUM(E29:E45)</f>
        <v>80.699999999999989</v>
      </c>
      <c r="D47" s="51">
        <f>ROUND(C47+(C47*D28),1)</f>
        <v>86.3</v>
      </c>
      <c r="E47" s="59">
        <f>100*ROUND((D47-C47)/D47,3)</f>
        <v>6.5</v>
      </c>
      <c r="F47" s="4" t="s">
        <v>29</v>
      </c>
      <c r="G47" s="14"/>
      <c r="H47" s="14"/>
      <c r="I47" s="14"/>
      <c r="J47" s="14"/>
      <c r="K47" s="14"/>
      <c r="L47" s="14"/>
    </row>
    <row r="48" spans="1:12" x14ac:dyDescent="0.25">
      <c r="A48" s="4"/>
      <c r="B48" s="4"/>
      <c r="C48" s="4"/>
      <c r="D48" s="4"/>
      <c r="E48" s="2"/>
      <c r="F48" s="4"/>
      <c r="G48" s="14"/>
      <c r="H48" s="14"/>
      <c r="I48" s="14"/>
      <c r="J48" s="14"/>
      <c r="K48" s="14"/>
      <c r="L48" s="14"/>
    </row>
    <row r="49" spans="1:12" ht="18.75" x14ac:dyDescent="0.3">
      <c r="A49" s="77" t="s">
        <v>27</v>
      </c>
      <c r="B49" s="18" t="s">
        <v>59</v>
      </c>
      <c r="C49" s="14"/>
      <c r="D49" s="14"/>
      <c r="E49" s="2"/>
      <c r="F49" s="14"/>
      <c r="G49" s="14"/>
      <c r="H49" s="14"/>
      <c r="I49" s="14"/>
      <c r="J49" s="14"/>
      <c r="K49" s="14"/>
      <c r="L49" s="14"/>
    </row>
    <row r="50" spans="1:12" ht="15" customHeight="1" x14ac:dyDescent="0.25">
      <c r="A50" s="77"/>
      <c r="B50" s="15"/>
      <c r="C50" s="14"/>
      <c r="D50" s="25"/>
      <c r="E50" s="26" t="s">
        <v>30</v>
      </c>
      <c r="F50" s="25"/>
      <c r="G50" s="25"/>
      <c r="H50" s="25"/>
      <c r="I50" s="25"/>
      <c r="J50" s="25"/>
      <c r="K50" s="25"/>
      <c r="L50" s="14"/>
    </row>
    <row r="51" spans="1:12" ht="15" customHeight="1" x14ac:dyDescent="0.25">
      <c r="A51" s="77"/>
      <c r="B51" s="83" t="s">
        <v>42</v>
      </c>
      <c r="C51" s="83"/>
      <c r="D51" s="25"/>
      <c r="E51" s="26"/>
      <c r="F51" s="90" t="s">
        <v>62</v>
      </c>
      <c r="G51" s="90"/>
      <c r="H51" s="90"/>
      <c r="I51" s="90"/>
      <c r="J51" s="90"/>
      <c r="K51" s="90"/>
      <c r="L51" s="14"/>
    </row>
    <row r="52" spans="1:12" x14ac:dyDescent="0.25">
      <c r="A52" s="77"/>
      <c r="B52" s="78" t="s">
        <v>40</v>
      </c>
      <c r="C52" s="78"/>
      <c r="D52" s="25"/>
      <c r="E52" s="26"/>
      <c r="F52" s="90"/>
      <c r="G52" s="90"/>
      <c r="H52" s="90"/>
      <c r="I52" s="90"/>
      <c r="J52" s="90"/>
      <c r="K52" s="90"/>
      <c r="L52" s="14"/>
    </row>
    <row r="53" spans="1:12" x14ac:dyDescent="0.25">
      <c r="A53" s="77"/>
      <c r="B53" s="17" t="s">
        <v>28</v>
      </c>
      <c r="C53" s="14"/>
      <c r="D53" s="25"/>
      <c r="E53" s="26"/>
      <c r="F53" s="90"/>
      <c r="G53" s="90"/>
      <c r="H53" s="90"/>
      <c r="I53" s="90"/>
      <c r="J53" s="90"/>
      <c r="K53" s="90"/>
      <c r="L53" s="14"/>
    </row>
    <row r="54" spans="1:12" x14ac:dyDescent="0.25">
      <c r="A54" s="77"/>
      <c r="B54" s="14"/>
      <c r="C54" s="14"/>
      <c r="D54" s="25"/>
      <c r="E54" s="26"/>
      <c r="F54" s="90"/>
      <c r="G54" s="90"/>
      <c r="H54" s="90"/>
      <c r="I54" s="90"/>
      <c r="J54" s="90"/>
      <c r="K54" s="90"/>
      <c r="L54" s="14"/>
    </row>
    <row r="55" spans="1:12" ht="23.25" customHeight="1" x14ac:dyDescent="0.25">
      <c r="A55" s="77"/>
      <c r="B55" s="14"/>
      <c r="C55" s="14"/>
      <c r="D55" s="25"/>
      <c r="E55" s="26"/>
      <c r="F55" s="90"/>
      <c r="G55" s="90"/>
      <c r="H55" s="90"/>
      <c r="I55" s="90"/>
      <c r="J55" s="90"/>
      <c r="K55" s="90"/>
      <c r="L55" s="14"/>
    </row>
    <row r="56" spans="1:12" x14ac:dyDescent="0.25">
      <c r="A56" s="14"/>
      <c r="B56" s="14"/>
      <c r="C56" s="14"/>
      <c r="D56" s="14"/>
      <c r="E56" s="60"/>
      <c r="F56" s="90"/>
      <c r="G56" s="90"/>
      <c r="H56" s="90"/>
      <c r="I56" s="90"/>
      <c r="J56" s="90"/>
      <c r="K56" s="90"/>
      <c r="L56" s="14"/>
    </row>
    <row r="57" spans="1:12" x14ac:dyDescent="0.25">
      <c r="A57" s="14"/>
      <c r="B57" s="14"/>
      <c r="C57" s="14"/>
      <c r="D57" s="14"/>
      <c r="E57" s="60"/>
      <c r="F57" s="85"/>
      <c r="G57" s="85"/>
      <c r="H57" s="85"/>
      <c r="I57" s="86"/>
      <c r="J57" s="86"/>
      <c r="K57" s="86"/>
      <c r="L57" s="14"/>
    </row>
    <row r="58" spans="1:12" x14ac:dyDescent="0.25">
      <c r="A58" s="14"/>
      <c r="B58" s="14"/>
      <c r="C58" s="14"/>
      <c r="D58" s="14"/>
      <c r="E58" s="60"/>
      <c r="F58" s="85"/>
      <c r="G58" s="85"/>
      <c r="H58" s="85"/>
      <c r="I58" s="86"/>
      <c r="J58" s="86"/>
      <c r="K58" s="86"/>
      <c r="L58" s="14"/>
    </row>
    <row r="59" spans="1:12" x14ac:dyDescent="0.25">
      <c r="A59" s="14"/>
      <c r="B59" s="14"/>
      <c r="C59" s="14"/>
      <c r="D59" s="14"/>
      <c r="E59" s="60"/>
      <c r="F59" s="85"/>
      <c r="G59" s="85"/>
      <c r="H59" s="85"/>
      <c r="I59" s="86"/>
      <c r="J59" s="86"/>
      <c r="K59" s="86"/>
      <c r="L59" s="14"/>
    </row>
    <row r="60" spans="1:12" x14ac:dyDescent="0.25">
      <c r="A60" s="14"/>
      <c r="B60" s="14"/>
      <c r="C60" s="14"/>
      <c r="D60" s="14"/>
      <c r="E60" s="60"/>
      <c r="F60" s="85"/>
      <c r="G60" s="85"/>
      <c r="H60" s="85"/>
      <c r="I60" s="86"/>
      <c r="J60" s="86"/>
      <c r="K60" s="86"/>
      <c r="L60" s="14"/>
    </row>
    <row r="61" spans="1:12" x14ac:dyDescent="0.25">
      <c r="A61" s="14"/>
      <c r="B61" s="14"/>
      <c r="C61" s="14"/>
      <c r="D61" s="14"/>
      <c r="E61" s="60"/>
      <c r="F61" s="85"/>
      <c r="G61" s="85"/>
      <c r="H61" s="85"/>
      <c r="I61" s="86"/>
      <c r="J61" s="86"/>
      <c r="K61" s="86"/>
      <c r="L61" s="14"/>
    </row>
    <row r="62" spans="1:12" x14ac:dyDescent="0.25">
      <c r="A62" s="14"/>
      <c r="B62" s="14"/>
      <c r="C62" s="14"/>
      <c r="D62" s="14"/>
      <c r="E62" s="60"/>
      <c r="F62" s="85"/>
      <c r="G62" s="85"/>
      <c r="H62" s="85"/>
      <c r="I62" s="86"/>
      <c r="J62" s="86"/>
      <c r="K62" s="86"/>
      <c r="L62" s="14"/>
    </row>
    <row r="63" spans="1:12" x14ac:dyDescent="0.25">
      <c r="A63" s="14"/>
      <c r="B63" s="14"/>
      <c r="C63" s="14"/>
      <c r="D63" s="14"/>
      <c r="E63" s="60"/>
      <c r="F63" s="85"/>
      <c r="G63" s="85"/>
      <c r="H63" s="85"/>
      <c r="I63" s="86"/>
      <c r="J63" s="86"/>
      <c r="K63" s="86"/>
      <c r="L63" s="14"/>
    </row>
    <row r="64" spans="1:12" x14ac:dyDescent="0.25">
      <c r="A64" s="14"/>
      <c r="B64" s="14"/>
      <c r="C64" s="14"/>
      <c r="D64" s="14"/>
      <c r="E64" s="14"/>
      <c r="F64" s="14" t="s">
        <v>63</v>
      </c>
      <c r="G64" s="14"/>
      <c r="H64" s="14"/>
      <c r="I64" s="14" t="s">
        <v>32</v>
      </c>
      <c r="J64" s="14"/>
      <c r="K64" s="57"/>
      <c r="L64" s="14"/>
    </row>
    <row r="65" spans="1:12" x14ac:dyDescent="0.25">
      <c r="A65" s="4"/>
      <c r="B65" s="4"/>
      <c r="C65" s="4"/>
      <c r="D65" s="4"/>
      <c r="E65" s="4"/>
      <c r="F65" s="4"/>
      <c r="G65" s="4"/>
      <c r="H65" s="4"/>
      <c r="I65" s="14"/>
      <c r="J65" s="14"/>
      <c r="K65" s="14"/>
      <c r="L65" s="14"/>
    </row>
    <row r="66" spans="1:12" ht="15" customHeight="1" x14ac:dyDescent="0.25">
      <c r="A66" s="4"/>
      <c r="B66" s="33" t="s">
        <v>73</v>
      </c>
      <c r="C66" s="31"/>
      <c r="D66" s="31"/>
      <c r="E66" s="31"/>
      <c r="F66" s="31"/>
      <c r="G66" s="31"/>
      <c r="H66" s="4"/>
      <c r="I66" s="79" t="s">
        <v>76</v>
      </c>
      <c r="J66" s="79"/>
      <c r="K66" s="79"/>
      <c r="L66" s="79"/>
    </row>
    <row r="67" spans="1:12" ht="15" customHeight="1" x14ac:dyDescent="0.25">
      <c r="A67" s="4"/>
      <c r="B67" s="39" t="s">
        <v>43</v>
      </c>
      <c r="C67" s="31"/>
      <c r="D67" s="35"/>
      <c r="E67" s="23"/>
      <c r="F67" s="35"/>
      <c r="G67" s="24">
        <v>35</v>
      </c>
      <c r="H67" s="4"/>
      <c r="I67" s="79"/>
      <c r="J67" s="79"/>
      <c r="K67" s="79"/>
      <c r="L67" s="79"/>
    </row>
    <row r="68" spans="1:12" x14ac:dyDescent="0.25">
      <c r="A68" s="4"/>
      <c r="B68" s="4"/>
      <c r="C68" s="4"/>
      <c r="D68" s="4"/>
      <c r="E68" s="2"/>
      <c r="F68" s="4"/>
      <c r="G68" s="4"/>
      <c r="H68" s="4"/>
      <c r="I68" s="79"/>
      <c r="J68" s="79"/>
      <c r="K68" s="79"/>
      <c r="L68" s="79"/>
    </row>
    <row r="69" spans="1:12" ht="15" customHeight="1" x14ac:dyDescent="0.25">
      <c r="A69" s="4"/>
      <c r="B69" s="33" t="s">
        <v>37</v>
      </c>
      <c r="C69" s="31"/>
      <c r="D69" s="31"/>
      <c r="E69" s="2"/>
      <c r="F69" s="31"/>
      <c r="G69" s="31"/>
      <c r="H69" s="4"/>
      <c r="I69" s="81" t="s">
        <v>81</v>
      </c>
      <c r="J69" s="81"/>
      <c r="K69" s="81"/>
      <c r="L69" s="81"/>
    </row>
    <row r="70" spans="1:12" x14ac:dyDescent="0.25">
      <c r="A70" s="4"/>
      <c r="B70" s="31"/>
      <c r="C70" s="31"/>
      <c r="D70" s="31"/>
      <c r="E70" s="2"/>
      <c r="F70" s="31"/>
      <c r="G70" s="31" t="s">
        <v>33</v>
      </c>
      <c r="H70" s="4"/>
      <c r="I70" s="81"/>
      <c r="J70" s="81"/>
      <c r="K70" s="81"/>
      <c r="L70" s="81"/>
    </row>
    <row r="71" spans="1:12" x14ac:dyDescent="0.25">
      <c r="A71" s="4"/>
      <c r="B71" s="31" t="s">
        <v>36</v>
      </c>
      <c r="C71" s="31"/>
      <c r="D71" s="31"/>
      <c r="E71" s="2"/>
      <c r="F71" s="31"/>
      <c r="G71" s="62">
        <f>G67</f>
        <v>35</v>
      </c>
      <c r="H71" s="4"/>
      <c r="I71" s="81"/>
      <c r="J71" s="81"/>
      <c r="K71" s="81"/>
      <c r="L71" s="81"/>
    </row>
    <row r="72" spans="1:12" x14ac:dyDescent="0.25">
      <c r="A72" s="4"/>
      <c r="B72" s="39" t="s">
        <v>64</v>
      </c>
      <c r="C72" s="31"/>
      <c r="D72" s="31"/>
      <c r="E72" s="23"/>
      <c r="F72" s="31"/>
      <c r="G72" s="63">
        <f>D33</f>
        <v>1.9</v>
      </c>
      <c r="H72" s="4"/>
      <c r="I72" s="81"/>
      <c r="J72" s="81"/>
      <c r="K72" s="81"/>
      <c r="L72" s="81"/>
    </row>
    <row r="73" spans="1:12" ht="15" customHeight="1" x14ac:dyDescent="0.25">
      <c r="A73" s="4"/>
      <c r="B73" s="31"/>
      <c r="C73" s="31"/>
      <c r="D73" s="31"/>
      <c r="E73" s="2"/>
      <c r="F73" s="31"/>
      <c r="G73" s="31"/>
      <c r="H73" s="4"/>
      <c r="I73" s="81"/>
      <c r="J73" s="81"/>
      <c r="K73" s="81"/>
      <c r="L73" s="81"/>
    </row>
    <row r="74" spans="1:12" x14ac:dyDescent="0.25">
      <c r="A74" s="4"/>
      <c r="B74" s="33" t="s">
        <v>38</v>
      </c>
      <c r="C74" s="33"/>
      <c r="D74" s="33" t="s">
        <v>34</v>
      </c>
      <c r="E74" s="2"/>
      <c r="F74" s="33" t="s">
        <v>32</v>
      </c>
      <c r="G74" s="33" t="s">
        <v>33</v>
      </c>
      <c r="H74" s="4"/>
      <c r="I74" s="81"/>
      <c r="J74" s="81"/>
      <c r="K74" s="81"/>
      <c r="L74" s="81"/>
    </row>
    <row r="75" spans="1:12" x14ac:dyDescent="0.25">
      <c r="A75" s="4"/>
      <c r="B75" s="28" t="s">
        <v>8</v>
      </c>
      <c r="C75" s="31"/>
      <c r="D75" s="31">
        <v>10</v>
      </c>
      <c r="E75" s="2">
        <f>D75/$D$94</f>
        <v>9.2592592592592587E-2</v>
      </c>
      <c r="F75" s="31">
        <v>6</v>
      </c>
      <c r="G75" s="72">
        <f>ROUND($G$71*$G$72*E75,0)</f>
        <v>6</v>
      </c>
      <c r="H75" s="4"/>
      <c r="I75" s="14"/>
      <c r="J75" s="14"/>
      <c r="K75" s="14"/>
      <c r="L75" s="14"/>
    </row>
    <row r="76" spans="1:12" x14ac:dyDescent="0.25">
      <c r="A76" s="4"/>
      <c r="B76" s="27" t="s">
        <v>9</v>
      </c>
      <c r="C76" s="31"/>
      <c r="D76" s="31">
        <v>4</v>
      </c>
      <c r="E76" s="2">
        <f t="shared" ref="E76:E93" si="0">D76/$D$94</f>
        <v>3.7037037037037035E-2</v>
      </c>
      <c r="F76" s="31">
        <v>2</v>
      </c>
      <c r="G76" s="72">
        <f t="shared" ref="G76:G93" si="1">ROUND($G$71*$G$72*E76,0)</f>
        <v>2</v>
      </c>
      <c r="H76" s="4"/>
      <c r="I76" s="85"/>
      <c r="J76" s="85"/>
      <c r="K76" s="25"/>
      <c r="L76" s="25"/>
    </row>
    <row r="77" spans="1:12" ht="15" customHeight="1" x14ac:dyDescent="0.25">
      <c r="A77" s="4"/>
      <c r="B77" s="28" t="s">
        <v>8</v>
      </c>
      <c r="C77" s="31"/>
      <c r="D77" s="31">
        <v>10</v>
      </c>
      <c r="E77" s="2">
        <f t="shared" si="0"/>
        <v>9.2592592592592587E-2</v>
      </c>
      <c r="F77" s="31">
        <v>6</v>
      </c>
      <c r="G77" s="72">
        <f t="shared" si="1"/>
        <v>6</v>
      </c>
      <c r="H77" s="4"/>
      <c r="I77" s="85"/>
      <c r="J77" s="85"/>
      <c r="K77" s="87"/>
      <c r="L77" s="25"/>
    </row>
    <row r="78" spans="1:12" x14ac:dyDescent="0.25">
      <c r="A78" s="4"/>
      <c r="B78" s="27" t="s">
        <v>9</v>
      </c>
      <c r="C78" s="31"/>
      <c r="D78" s="31">
        <v>1</v>
      </c>
      <c r="E78" s="2">
        <f t="shared" si="0"/>
        <v>9.2592592592592587E-3</v>
      </c>
      <c r="F78" s="31">
        <v>1</v>
      </c>
      <c r="G78" s="72">
        <f t="shared" si="1"/>
        <v>1</v>
      </c>
      <c r="H78" s="4"/>
      <c r="I78" s="85"/>
      <c r="J78" s="85"/>
      <c r="K78" s="87"/>
      <c r="L78" s="25"/>
    </row>
    <row r="79" spans="1:12" x14ac:dyDescent="0.25">
      <c r="A79" s="4"/>
      <c r="B79" s="29" t="s">
        <v>10</v>
      </c>
      <c r="C79" s="31"/>
      <c r="D79" s="31">
        <v>1</v>
      </c>
      <c r="E79" s="2">
        <f t="shared" si="0"/>
        <v>9.2592592592592587E-3</v>
      </c>
      <c r="F79" s="31">
        <v>1</v>
      </c>
      <c r="G79" s="72">
        <f t="shared" si="1"/>
        <v>1</v>
      </c>
      <c r="H79" s="4"/>
      <c r="I79" s="85"/>
      <c r="J79" s="85"/>
      <c r="K79" s="87"/>
      <c r="L79" s="25"/>
    </row>
    <row r="80" spans="1:12" x14ac:dyDescent="0.25">
      <c r="A80" s="4"/>
      <c r="B80" s="27" t="s">
        <v>9</v>
      </c>
      <c r="C80" s="31"/>
      <c r="D80" s="31">
        <v>1</v>
      </c>
      <c r="E80" s="2">
        <f t="shared" si="0"/>
        <v>9.2592592592592587E-3</v>
      </c>
      <c r="F80" s="31">
        <v>1</v>
      </c>
      <c r="G80" s="72">
        <f t="shared" si="1"/>
        <v>1</v>
      </c>
      <c r="H80" s="4"/>
      <c r="I80" s="85"/>
      <c r="J80" s="85"/>
      <c r="K80" s="87"/>
      <c r="L80" s="25"/>
    </row>
    <row r="81" spans="1:12" ht="15" customHeight="1" x14ac:dyDescent="0.25">
      <c r="A81" s="4"/>
      <c r="B81" s="29" t="s">
        <v>10</v>
      </c>
      <c r="C81" s="31"/>
      <c r="D81" s="31">
        <v>1</v>
      </c>
      <c r="E81" s="2">
        <f t="shared" si="0"/>
        <v>9.2592592592592587E-3</v>
      </c>
      <c r="F81" s="31">
        <v>1</v>
      </c>
      <c r="G81" s="72">
        <f t="shared" si="1"/>
        <v>1</v>
      </c>
      <c r="H81" s="4"/>
      <c r="I81" s="81" t="s">
        <v>77</v>
      </c>
      <c r="J81" s="81"/>
      <c r="K81" s="81"/>
      <c r="L81" s="81"/>
    </row>
    <row r="82" spans="1:12" x14ac:dyDescent="0.25">
      <c r="A82" s="4"/>
      <c r="B82" s="28" t="s">
        <v>8</v>
      </c>
      <c r="C82" s="31"/>
      <c r="D82" s="31">
        <v>14</v>
      </c>
      <c r="E82" s="2">
        <f t="shared" si="0"/>
        <v>0.12962962962962962</v>
      </c>
      <c r="F82" s="31">
        <v>10</v>
      </c>
      <c r="G82" s="72">
        <f t="shared" si="1"/>
        <v>9</v>
      </c>
      <c r="H82" s="4"/>
      <c r="I82" s="81"/>
      <c r="J82" s="81"/>
      <c r="K82" s="81"/>
      <c r="L82" s="81"/>
    </row>
    <row r="83" spans="1:12" x14ac:dyDescent="0.25">
      <c r="A83" s="4"/>
      <c r="B83" s="29" t="s">
        <v>10</v>
      </c>
      <c r="C83" s="31"/>
      <c r="D83" s="31">
        <v>4</v>
      </c>
      <c r="E83" s="2">
        <f t="shared" si="0"/>
        <v>3.7037037037037035E-2</v>
      </c>
      <c r="F83" s="31">
        <v>2</v>
      </c>
      <c r="G83" s="72">
        <f t="shared" si="1"/>
        <v>2</v>
      </c>
      <c r="H83" s="4"/>
      <c r="I83" s="81"/>
      <c r="J83" s="81"/>
      <c r="K83" s="81"/>
      <c r="L83" s="81"/>
    </row>
    <row r="84" spans="1:12" x14ac:dyDescent="0.25">
      <c r="A84" s="4"/>
      <c r="B84" s="28" t="s">
        <v>8</v>
      </c>
      <c r="C84" s="31"/>
      <c r="D84" s="31">
        <v>16</v>
      </c>
      <c r="E84" s="2">
        <f t="shared" si="0"/>
        <v>0.14814814814814814</v>
      </c>
      <c r="F84" s="31">
        <v>12</v>
      </c>
      <c r="G84" s="72">
        <f t="shared" si="1"/>
        <v>10</v>
      </c>
      <c r="H84" s="4"/>
      <c r="I84" s="81"/>
      <c r="J84" s="81"/>
      <c r="K84" s="81"/>
      <c r="L84" s="81"/>
    </row>
    <row r="85" spans="1:12" x14ac:dyDescent="0.25">
      <c r="A85" s="4"/>
      <c r="B85" s="29" t="s">
        <v>10</v>
      </c>
      <c r="C85" s="31"/>
      <c r="D85" s="31">
        <v>4</v>
      </c>
      <c r="E85" s="2">
        <f t="shared" si="0"/>
        <v>3.7037037037037035E-2</v>
      </c>
      <c r="F85" s="31">
        <v>2</v>
      </c>
      <c r="G85" s="72">
        <f t="shared" si="1"/>
        <v>2</v>
      </c>
      <c r="H85" s="4"/>
      <c r="I85" s="61"/>
      <c r="J85" s="61"/>
      <c r="K85" s="61"/>
      <c r="L85" s="61"/>
    </row>
    <row r="86" spans="1:12" ht="15" customHeight="1" x14ac:dyDescent="0.25">
      <c r="A86" s="4"/>
      <c r="B86" s="28" t="s">
        <v>8</v>
      </c>
      <c r="C86" s="31"/>
      <c r="D86" s="31">
        <v>14</v>
      </c>
      <c r="E86" s="2">
        <f t="shared" si="0"/>
        <v>0.12962962962962962</v>
      </c>
      <c r="F86" s="31">
        <v>10</v>
      </c>
      <c r="G86" s="72">
        <f t="shared" si="1"/>
        <v>9</v>
      </c>
      <c r="H86" s="4"/>
      <c r="I86" s="81" t="s">
        <v>78</v>
      </c>
      <c r="J86" s="81"/>
      <c r="K86" s="81"/>
      <c r="L86" s="81"/>
    </row>
    <row r="87" spans="1:12" x14ac:dyDescent="0.25">
      <c r="A87" s="4"/>
      <c r="B87" s="27" t="s">
        <v>9</v>
      </c>
      <c r="C87" s="31"/>
      <c r="D87" s="31">
        <v>1</v>
      </c>
      <c r="E87" s="2">
        <f t="shared" si="0"/>
        <v>9.2592592592592587E-3</v>
      </c>
      <c r="F87" s="31">
        <v>1</v>
      </c>
      <c r="G87" s="72">
        <f t="shared" si="1"/>
        <v>1</v>
      </c>
      <c r="H87" s="4"/>
      <c r="I87" s="81"/>
      <c r="J87" s="81"/>
      <c r="K87" s="81"/>
      <c r="L87" s="81"/>
    </row>
    <row r="88" spans="1:12" x14ac:dyDescent="0.25">
      <c r="A88" s="4"/>
      <c r="B88" s="29" t="s">
        <v>10</v>
      </c>
      <c r="C88" s="31"/>
      <c r="D88" s="31">
        <v>1</v>
      </c>
      <c r="E88" s="2">
        <f t="shared" si="0"/>
        <v>9.2592592592592587E-3</v>
      </c>
      <c r="F88" s="31">
        <v>1</v>
      </c>
      <c r="G88" s="72">
        <f t="shared" si="1"/>
        <v>1</v>
      </c>
      <c r="H88" s="4"/>
      <c r="I88" s="81"/>
      <c r="J88" s="81"/>
      <c r="K88" s="81"/>
      <c r="L88" s="81"/>
    </row>
    <row r="89" spans="1:12" x14ac:dyDescent="0.25">
      <c r="A89" s="4"/>
      <c r="B89" s="27" t="s">
        <v>9</v>
      </c>
      <c r="C89" s="31"/>
      <c r="D89" s="31">
        <v>1</v>
      </c>
      <c r="E89" s="2">
        <f t="shared" si="0"/>
        <v>9.2592592592592587E-3</v>
      </c>
      <c r="F89" s="31">
        <v>1</v>
      </c>
      <c r="G89" s="72">
        <f t="shared" si="1"/>
        <v>1</v>
      </c>
      <c r="H89" s="4"/>
      <c r="I89" s="81"/>
      <c r="J89" s="81"/>
      <c r="K89" s="81"/>
      <c r="L89" s="81"/>
    </row>
    <row r="90" spans="1:12" x14ac:dyDescent="0.25">
      <c r="A90" s="4"/>
      <c r="B90" s="29" t="s">
        <v>10</v>
      </c>
      <c r="C90" s="31"/>
      <c r="D90" s="31">
        <v>1</v>
      </c>
      <c r="E90" s="2">
        <f t="shared" si="0"/>
        <v>9.2592592592592587E-3</v>
      </c>
      <c r="F90" s="31">
        <v>1</v>
      </c>
      <c r="G90" s="72">
        <f t="shared" si="1"/>
        <v>1</v>
      </c>
      <c r="H90" s="4"/>
      <c r="I90" s="81"/>
      <c r="J90" s="81"/>
      <c r="K90" s="81"/>
      <c r="L90" s="81"/>
    </row>
    <row r="91" spans="1:12" x14ac:dyDescent="0.25">
      <c r="A91" s="4"/>
      <c r="B91" s="28" t="s">
        <v>8</v>
      </c>
      <c r="C91" s="31"/>
      <c r="D91" s="31">
        <v>10</v>
      </c>
      <c r="E91" s="2">
        <f t="shared" si="0"/>
        <v>9.2592592592592587E-2</v>
      </c>
      <c r="F91" s="31">
        <v>6</v>
      </c>
      <c r="G91" s="72">
        <f t="shared" si="1"/>
        <v>6</v>
      </c>
      <c r="H91" s="4"/>
      <c r="I91" s="84" t="str">
        <f>IF(E96=0,"👍","Pyöristyksen takia tässä on "&amp;E96&amp;" lankaa liian "&amp;E97&amp;", eli raidasta tulee "&amp;ROUND(E96/G67*10,0)&amp;" mm suunnittelemaasi "&amp;E98&amp;" "&amp;E99)</f>
        <v>Pyöristyksen takia tässä on 2 lankaa liian paljon, eli raidasta tulee 1 mm suunnittelemaasi paksumpi (mikä on ok)</v>
      </c>
      <c r="J91" s="84"/>
      <c r="K91" s="84"/>
      <c r="L91" s="84"/>
    </row>
    <row r="92" spans="1:12" ht="15" customHeight="1" x14ac:dyDescent="0.25">
      <c r="A92" s="4"/>
      <c r="B92" s="27" t="s">
        <v>9</v>
      </c>
      <c r="C92" s="31"/>
      <c r="D92" s="31">
        <v>4</v>
      </c>
      <c r="E92" s="2">
        <f t="shared" si="0"/>
        <v>3.7037037037037035E-2</v>
      </c>
      <c r="F92" s="31">
        <v>2</v>
      </c>
      <c r="G92" s="72">
        <f t="shared" si="1"/>
        <v>2</v>
      </c>
      <c r="H92" s="4"/>
      <c r="I92" s="84"/>
      <c r="J92" s="84"/>
      <c r="K92" s="84"/>
      <c r="L92" s="84"/>
    </row>
    <row r="93" spans="1:12" x14ac:dyDescent="0.25">
      <c r="A93" s="4"/>
      <c r="B93" s="28" t="s">
        <v>8</v>
      </c>
      <c r="C93" s="31"/>
      <c r="D93" s="31">
        <v>10</v>
      </c>
      <c r="E93" s="2">
        <f t="shared" si="0"/>
        <v>9.2592592592592587E-2</v>
      </c>
      <c r="F93" s="31">
        <v>6</v>
      </c>
      <c r="G93" s="72">
        <f t="shared" si="1"/>
        <v>6</v>
      </c>
      <c r="H93" s="4"/>
      <c r="I93" s="84"/>
      <c r="J93" s="84"/>
      <c r="K93" s="84"/>
      <c r="L93" s="84"/>
    </row>
    <row r="94" spans="1:12" x14ac:dyDescent="0.25">
      <c r="A94" s="4"/>
      <c r="B94" s="33" t="s">
        <v>25</v>
      </c>
      <c r="C94" s="31"/>
      <c r="D94" s="33">
        <f>SUM(D75:D93)</f>
        <v>108</v>
      </c>
      <c r="E94" s="2">
        <f>SUM(E75:E93)</f>
        <v>1</v>
      </c>
      <c r="F94" s="33">
        <f>SUM(F75:F93)</f>
        <v>72</v>
      </c>
      <c r="G94" s="33">
        <f>SUM(G75:G93)</f>
        <v>68</v>
      </c>
      <c r="H94" s="4"/>
      <c r="I94" s="84"/>
      <c r="J94" s="84"/>
      <c r="K94" s="84"/>
      <c r="L94" s="84"/>
    </row>
    <row r="95" spans="1:12" x14ac:dyDescent="0.25">
      <c r="A95" s="4"/>
      <c r="B95" s="4"/>
      <c r="C95" s="4"/>
      <c r="D95" s="4"/>
      <c r="E95" s="2">
        <f>ROUND(G71*G72-G94,0)</f>
        <v>-2</v>
      </c>
      <c r="F95" s="4"/>
      <c r="G95" s="4"/>
      <c r="H95" s="4"/>
      <c r="I95" s="4"/>
      <c r="J95" s="4"/>
      <c r="K95" s="4"/>
      <c r="L95" s="4"/>
    </row>
    <row r="96" spans="1:12" x14ac:dyDescent="0.25">
      <c r="A96" s="4"/>
      <c r="B96" s="4"/>
      <c r="C96" s="4"/>
      <c r="D96" s="4"/>
      <c r="E96" s="2">
        <f>ABS(E95)</f>
        <v>2</v>
      </c>
      <c r="F96" s="4"/>
      <c r="G96" s="4"/>
      <c r="H96" s="4"/>
      <c r="I96" s="4"/>
      <c r="J96" s="4"/>
      <c r="K96" s="4"/>
      <c r="L96" s="4"/>
    </row>
    <row r="97" spans="1:12" x14ac:dyDescent="0.25">
      <c r="A97" s="4"/>
      <c r="B97" s="33" t="s">
        <v>39</v>
      </c>
      <c r="C97" s="31"/>
      <c r="D97" s="31"/>
      <c r="E97" s="2" t="str">
        <f>IF(E95&lt;0,"paljon","vähän")</f>
        <v>paljon</v>
      </c>
      <c r="F97" s="31"/>
      <c r="G97" s="31"/>
      <c r="H97" s="4"/>
      <c r="I97" s="4"/>
      <c r="J97" s="4"/>
      <c r="K97" s="4"/>
      <c r="L97" s="4"/>
    </row>
    <row r="98" spans="1:12" ht="15" customHeight="1" x14ac:dyDescent="0.25">
      <c r="A98" s="4"/>
      <c r="B98" s="31"/>
      <c r="C98" s="31"/>
      <c r="D98" s="31"/>
      <c r="E98" s="2" t="str">
        <f>IF(E95&lt;0,"paksumpi","kapeampi")</f>
        <v>paksumpi</v>
      </c>
      <c r="F98" s="31"/>
      <c r="G98" s="31" t="s">
        <v>33</v>
      </c>
      <c r="H98" s="4"/>
      <c r="I98" s="4"/>
      <c r="J98" s="4"/>
      <c r="K98" s="4"/>
      <c r="L98" s="4"/>
    </row>
    <row r="99" spans="1:12" x14ac:dyDescent="0.25">
      <c r="A99" s="4"/>
      <c r="B99" s="31" t="s">
        <v>36</v>
      </c>
      <c r="C99" s="31"/>
      <c r="D99" s="35"/>
      <c r="E99" s="23" t="str">
        <f>IF(ROUND(E96/G67,1)&lt;0.2,"(mikä on ok)","(mikä on aika paljon)")</f>
        <v>(mikä on ok)</v>
      </c>
      <c r="F99" s="35"/>
      <c r="G99" s="64">
        <f>$G$67</f>
        <v>35</v>
      </c>
      <c r="H99" s="4"/>
      <c r="I99" s="4"/>
      <c r="J99" s="4"/>
      <c r="K99" s="4"/>
      <c r="L99" s="4"/>
    </row>
    <row r="100" spans="1:12" x14ac:dyDescent="0.25">
      <c r="A100" s="4"/>
      <c r="B100" s="39" t="s">
        <v>64</v>
      </c>
      <c r="C100" s="31"/>
      <c r="D100" s="31"/>
      <c r="E100" s="23"/>
      <c r="F100" s="37"/>
      <c r="G100" s="63">
        <f>D35</f>
        <v>3</v>
      </c>
      <c r="H100" s="4"/>
      <c r="I100" s="4"/>
      <c r="J100" s="4"/>
      <c r="K100" s="4"/>
      <c r="L100" s="4"/>
    </row>
    <row r="101" spans="1:12" x14ac:dyDescent="0.25">
      <c r="A101" s="4"/>
      <c r="B101" s="31"/>
      <c r="C101" s="31"/>
      <c r="D101" s="31"/>
      <c r="E101" s="23"/>
      <c r="F101" s="31"/>
      <c r="G101" s="31"/>
      <c r="H101" s="4"/>
      <c r="I101" s="4"/>
      <c r="J101" s="4"/>
      <c r="K101" s="4"/>
      <c r="L101" s="4"/>
    </row>
    <row r="102" spans="1:12" x14ac:dyDescent="0.25">
      <c r="A102" s="4"/>
      <c r="B102" s="33" t="s">
        <v>38</v>
      </c>
      <c r="C102" s="33"/>
      <c r="D102" s="33" t="s">
        <v>34</v>
      </c>
      <c r="E102" s="23"/>
      <c r="F102" s="33" t="s">
        <v>32</v>
      </c>
      <c r="G102" s="33" t="s">
        <v>33</v>
      </c>
      <c r="H102" s="4"/>
      <c r="I102" s="4"/>
      <c r="J102" s="4"/>
      <c r="K102" s="4"/>
      <c r="L102" s="4"/>
    </row>
    <row r="103" spans="1:12" x14ac:dyDescent="0.25">
      <c r="A103" s="4"/>
      <c r="B103" s="28" t="s">
        <v>8</v>
      </c>
      <c r="C103" s="31"/>
      <c r="D103" s="31">
        <v>8</v>
      </c>
      <c r="E103" s="2">
        <f>D103/$D$124</f>
        <v>4.8192771084337352E-2</v>
      </c>
      <c r="F103" s="31">
        <v>6</v>
      </c>
      <c r="G103" s="72">
        <f>ROUND($G$99*$G$100*E103,0)</f>
        <v>5</v>
      </c>
      <c r="H103" s="4"/>
      <c r="I103" s="4"/>
      <c r="J103" s="4"/>
      <c r="K103" s="4"/>
      <c r="L103" s="4"/>
    </row>
    <row r="104" spans="1:12" x14ac:dyDescent="0.25">
      <c r="A104" s="4"/>
      <c r="B104" s="30" t="s">
        <v>11</v>
      </c>
      <c r="C104" s="31"/>
      <c r="D104" s="31">
        <v>4</v>
      </c>
      <c r="E104" s="2">
        <f t="shared" ref="E104:E123" si="2">D104/$D$124</f>
        <v>2.4096385542168676E-2</v>
      </c>
      <c r="F104" s="31">
        <v>2</v>
      </c>
      <c r="G104" s="72">
        <f t="shared" ref="G104:G123" si="3">ROUND($G$99*$G$100*E104,0)</f>
        <v>3</v>
      </c>
      <c r="H104" s="4"/>
      <c r="I104" s="4"/>
      <c r="J104" s="4"/>
      <c r="K104" s="4"/>
      <c r="L104" s="4"/>
    </row>
    <row r="105" spans="1:12" x14ac:dyDescent="0.25">
      <c r="A105" s="4"/>
      <c r="B105" s="28" t="s">
        <v>8</v>
      </c>
      <c r="C105" s="31"/>
      <c r="D105" s="31">
        <v>8</v>
      </c>
      <c r="E105" s="2">
        <f t="shared" si="2"/>
        <v>4.8192771084337352E-2</v>
      </c>
      <c r="F105" s="31">
        <v>6</v>
      </c>
      <c r="G105" s="72">
        <f t="shared" si="3"/>
        <v>5</v>
      </c>
      <c r="H105" s="4"/>
      <c r="I105" s="4"/>
      <c r="J105" s="4"/>
      <c r="K105" s="4"/>
      <c r="L105" s="4"/>
    </row>
    <row r="106" spans="1:12" x14ac:dyDescent="0.25">
      <c r="A106" s="4"/>
      <c r="B106" s="30" t="s">
        <v>11</v>
      </c>
      <c r="C106" s="31"/>
      <c r="D106" s="31">
        <v>4</v>
      </c>
      <c r="E106" s="2">
        <f t="shared" si="2"/>
        <v>2.4096385542168676E-2</v>
      </c>
      <c r="F106" s="31">
        <v>2</v>
      </c>
      <c r="G106" s="72">
        <f t="shared" si="3"/>
        <v>3</v>
      </c>
      <c r="H106" s="4"/>
      <c r="I106" s="4"/>
      <c r="J106" s="4"/>
      <c r="K106" s="4"/>
      <c r="L106" s="4"/>
    </row>
    <row r="107" spans="1:12" x14ac:dyDescent="0.25">
      <c r="A107" s="4"/>
      <c r="B107" s="28" t="s">
        <v>8</v>
      </c>
      <c r="C107" s="31"/>
      <c r="D107" s="31">
        <v>40</v>
      </c>
      <c r="E107" s="2">
        <f t="shared" si="2"/>
        <v>0.24096385542168675</v>
      </c>
      <c r="F107" s="31">
        <v>26</v>
      </c>
      <c r="G107" s="72">
        <f t="shared" si="3"/>
        <v>25</v>
      </c>
      <c r="H107" s="4"/>
      <c r="I107" s="4"/>
      <c r="J107" s="4"/>
      <c r="K107" s="4"/>
      <c r="L107" s="4"/>
    </row>
    <row r="108" spans="1:12" x14ac:dyDescent="0.25">
      <c r="A108" s="4"/>
      <c r="B108" s="30" t="s">
        <v>11</v>
      </c>
      <c r="C108" s="31"/>
      <c r="D108" s="31">
        <v>4</v>
      </c>
      <c r="E108" s="2">
        <f t="shared" si="2"/>
        <v>2.4096385542168676E-2</v>
      </c>
      <c r="F108" s="31">
        <v>2</v>
      </c>
      <c r="G108" s="72">
        <f t="shared" si="3"/>
        <v>3</v>
      </c>
      <c r="H108" s="4"/>
      <c r="I108" s="4"/>
      <c r="J108" s="4"/>
      <c r="K108" s="4"/>
      <c r="L108" s="4"/>
    </row>
    <row r="109" spans="1:12" x14ac:dyDescent="0.25">
      <c r="A109" s="4"/>
      <c r="B109" s="28" t="s">
        <v>8</v>
      </c>
      <c r="C109" s="31"/>
      <c r="D109" s="31">
        <v>8</v>
      </c>
      <c r="E109" s="2">
        <f t="shared" si="2"/>
        <v>4.8192771084337352E-2</v>
      </c>
      <c r="F109" s="31">
        <v>4</v>
      </c>
      <c r="G109" s="72">
        <f t="shared" si="3"/>
        <v>5</v>
      </c>
      <c r="H109" s="4"/>
      <c r="I109" s="4"/>
      <c r="J109" s="4"/>
      <c r="K109" s="4"/>
      <c r="L109" s="4"/>
    </row>
    <row r="110" spans="1:12" x14ac:dyDescent="0.25">
      <c r="A110" s="4"/>
      <c r="B110" s="27" t="s">
        <v>9</v>
      </c>
      <c r="C110" s="31"/>
      <c r="D110" s="31">
        <v>3</v>
      </c>
      <c r="E110" s="2">
        <f t="shared" si="2"/>
        <v>1.8072289156626505E-2</v>
      </c>
      <c r="F110" s="31">
        <v>3</v>
      </c>
      <c r="G110" s="72">
        <f t="shared" si="3"/>
        <v>2</v>
      </c>
      <c r="H110" s="4"/>
      <c r="I110" s="4"/>
      <c r="J110" s="4"/>
      <c r="K110" s="4"/>
      <c r="L110" s="4"/>
    </row>
    <row r="111" spans="1:12" x14ac:dyDescent="0.25">
      <c r="A111" s="4"/>
      <c r="B111" s="28" t="s">
        <v>8</v>
      </c>
      <c r="C111" s="31"/>
      <c r="D111" s="31">
        <v>3</v>
      </c>
      <c r="E111" s="2">
        <f t="shared" si="2"/>
        <v>1.8072289156626505E-2</v>
      </c>
      <c r="F111" s="31">
        <v>3</v>
      </c>
      <c r="G111" s="72">
        <f t="shared" si="3"/>
        <v>2</v>
      </c>
      <c r="H111" s="4"/>
      <c r="I111" s="4"/>
      <c r="J111" s="4"/>
      <c r="K111" s="4"/>
      <c r="L111" s="4"/>
    </row>
    <row r="112" spans="1:12" x14ac:dyDescent="0.25">
      <c r="A112" s="4"/>
      <c r="B112" s="30" t="s">
        <v>11</v>
      </c>
      <c r="C112" s="31"/>
      <c r="D112" s="31">
        <v>1</v>
      </c>
      <c r="E112" s="2">
        <f t="shared" si="2"/>
        <v>6.024096385542169E-3</v>
      </c>
      <c r="F112" s="31">
        <v>1</v>
      </c>
      <c r="G112" s="72">
        <f t="shared" si="3"/>
        <v>1</v>
      </c>
      <c r="H112" s="4"/>
      <c r="I112" s="4"/>
      <c r="J112" s="4"/>
      <c r="K112" s="4"/>
      <c r="L112" s="4"/>
    </row>
    <row r="113" spans="1:12" x14ac:dyDescent="0.25">
      <c r="A113" s="4"/>
      <c r="B113" s="28" t="s">
        <v>8</v>
      </c>
      <c r="C113" s="31"/>
      <c r="D113" s="31">
        <v>1</v>
      </c>
      <c r="E113" s="2">
        <f t="shared" si="2"/>
        <v>6.024096385542169E-3</v>
      </c>
      <c r="F113" s="31">
        <v>1</v>
      </c>
      <c r="G113" s="72">
        <f t="shared" si="3"/>
        <v>1</v>
      </c>
      <c r="H113" s="4"/>
      <c r="I113" s="88"/>
      <c r="J113" s="88"/>
      <c r="K113" s="88"/>
      <c r="L113" s="4"/>
    </row>
    <row r="114" spans="1:12" x14ac:dyDescent="0.25">
      <c r="A114" s="4"/>
      <c r="B114" s="30" t="s">
        <v>11</v>
      </c>
      <c r="C114" s="31"/>
      <c r="D114" s="31">
        <v>1</v>
      </c>
      <c r="E114" s="2">
        <f t="shared" si="2"/>
        <v>6.024096385542169E-3</v>
      </c>
      <c r="F114" s="31">
        <v>1</v>
      </c>
      <c r="G114" s="72">
        <f t="shared" si="3"/>
        <v>1</v>
      </c>
      <c r="H114" s="4"/>
      <c r="I114" s="88"/>
      <c r="J114" s="88"/>
      <c r="K114" s="88"/>
      <c r="L114" s="4"/>
    </row>
    <row r="115" spans="1:12" x14ac:dyDescent="0.25">
      <c r="A115" s="4"/>
      <c r="B115" s="28" t="s">
        <v>8</v>
      </c>
      <c r="C115" s="31"/>
      <c r="D115" s="31">
        <v>2</v>
      </c>
      <c r="E115" s="2">
        <f t="shared" si="2"/>
        <v>1.2048192771084338E-2</v>
      </c>
      <c r="F115" s="31">
        <v>2</v>
      </c>
      <c r="G115" s="72">
        <f t="shared" si="3"/>
        <v>1</v>
      </c>
      <c r="H115" s="4"/>
      <c r="I115" s="88"/>
      <c r="J115" s="88"/>
      <c r="K115" s="88"/>
      <c r="L115" s="4"/>
    </row>
    <row r="116" spans="1:12" x14ac:dyDescent="0.25">
      <c r="A116" s="4"/>
      <c r="B116" s="27" t="s">
        <v>9</v>
      </c>
      <c r="C116" s="31"/>
      <c r="D116" s="31">
        <v>3</v>
      </c>
      <c r="E116" s="2">
        <f t="shared" si="2"/>
        <v>1.8072289156626505E-2</v>
      </c>
      <c r="F116" s="31">
        <v>3</v>
      </c>
      <c r="G116" s="72">
        <f t="shared" si="3"/>
        <v>2</v>
      </c>
      <c r="H116" s="4"/>
      <c r="I116" s="88"/>
      <c r="J116" s="88"/>
      <c r="K116" s="88"/>
      <c r="L116" s="4"/>
    </row>
    <row r="117" spans="1:12" x14ac:dyDescent="0.25">
      <c r="A117" s="4"/>
      <c r="B117" s="28" t="s">
        <v>8</v>
      </c>
      <c r="C117" s="31"/>
      <c r="D117" s="31">
        <v>8</v>
      </c>
      <c r="E117" s="2">
        <f t="shared" si="2"/>
        <v>4.8192771084337352E-2</v>
      </c>
      <c r="F117" s="31">
        <v>4</v>
      </c>
      <c r="G117" s="72">
        <f t="shared" si="3"/>
        <v>5</v>
      </c>
      <c r="H117" s="4"/>
      <c r="I117" s="4"/>
      <c r="J117" s="4"/>
      <c r="K117" s="4"/>
      <c r="L117" s="4"/>
    </row>
    <row r="118" spans="1:12" x14ac:dyDescent="0.25">
      <c r="A118" s="4"/>
      <c r="B118" s="30" t="s">
        <v>11</v>
      </c>
      <c r="C118" s="31"/>
      <c r="D118" s="31">
        <v>4</v>
      </c>
      <c r="E118" s="2">
        <f t="shared" si="2"/>
        <v>2.4096385542168676E-2</v>
      </c>
      <c r="F118" s="31">
        <v>2</v>
      </c>
      <c r="G118" s="72">
        <f t="shared" si="3"/>
        <v>3</v>
      </c>
      <c r="H118" s="4"/>
      <c r="I118" s="4"/>
      <c r="J118" s="4"/>
      <c r="K118" s="4"/>
      <c r="L118" s="4"/>
    </row>
    <row r="119" spans="1:12" x14ac:dyDescent="0.25">
      <c r="A119" s="4"/>
      <c r="B119" s="28" t="s">
        <v>8</v>
      </c>
      <c r="C119" s="31"/>
      <c r="D119" s="31">
        <v>40</v>
      </c>
      <c r="E119" s="2">
        <f t="shared" si="2"/>
        <v>0.24096385542168675</v>
      </c>
      <c r="F119" s="31">
        <v>26</v>
      </c>
      <c r="G119" s="72">
        <f t="shared" si="3"/>
        <v>25</v>
      </c>
      <c r="H119" s="4"/>
      <c r="I119" s="4"/>
      <c r="J119" s="4"/>
      <c r="K119" s="4"/>
      <c r="L119" s="4"/>
    </row>
    <row r="120" spans="1:12" x14ac:dyDescent="0.25">
      <c r="A120" s="4"/>
      <c r="B120" s="30" t="s">
        <v>11</v>
      </c>
      <c r="C120" s="31"/>
      <c r="D120" s="31">
        <v>4</v>
      </c>
      <c r="E120" s="2">
        <f t="shared" si="2"/>
        <v>2.4096385542168676E-2</v>
      </c>
      <c r="F120" s="31">
        <v>2</v>
      </c>
      <c r="G120" s="72">
        <f t="shared" si="3"/>
        <v>3</v>
      </c>
      <c r="H120" s="4"/>
      <c r="I120" s="4"/>
      <c r="J120" s="4"/>
      <c r="K120" s="4"/>
      <c r="L120" s="4"/>
    </row>
    <row r="121" spans="1:12" x14ac:dyDescent="0.25">
      <c r="A121" s="4"/>
      <c r="B121" s="28" t="s">
        <v>8</v>
      </c>
      <c r="C121" s="31"/>
      <c r="D121" s="31">
        <v>8</v>
      </c>
      <c r="E121" s="2">
        <f t="shared" si="2"/>
        <v>4.8192771084337352E-2</v>
      </c>
      <c r="F121" s="31">
        <v>6</v>
      </c>
      <c r="G121" s="72">
        <f t="shared" si="3"/>
        <v>5</v>
      </c>
      <c r="H121" s="4"/>
      <c r="I121" s="84" t="str">
        <f>IF(E126=0,"👍","Pyöristyksen takia tässä on "&amp;E126&amp;" lankaa liian "&amp;E127&amp;", eli raidasta tulee "&amp;ROUND(E126/G99*10,0)&amp;" mm suunnittelemaasi "&amp;E128&amp;" "&amp;E129)</f>
        <v>Pyöristyksen takia tässä on 3 lankaa liian paljon, eli raidasta tulee 1 mm suunnittelemaasi paksumpi (mikä on ok)</v>
      </c>
      <c r="J121" s="84"/>
      <c r="K121" s="84"/>
      <c r="L121" s="84"/>
    </row>
    <row r="122" spans="1:12" ht="15" customHeight="1" x14ac:dyDescent="0.25">
      <c r="A122" s="4"/>
      <c r="B122" s="30" t="s">
        <v>11</v>
      </c>
      <c r="C122" s="31"/>
      <c r="D122" s="31">
        <v>4</v>
      </c>
      <c r="E122" s="2">
        <f t="shared" si="2"/>
        <v>2.4096385542168676E-2</v>
      </c>
      <c r="F122" s="31">
        <v>2</v>
      </c>
      <c r="G122" s="72">
        <f t="shared" si="3"/>
        <v>3</v>
      </c>
      <c r="H122" s="4"/>
      <c r="I122" s="84"/>
      <c r="J122" s="84"/>
      <c r="K122" s="84"/>
      <c r="L122" s="84"/>
    </row>
    <row r="123" spans="1:12" x14ac:dyDescent="0.25">
      <c r="A123" s="4"/>
      <c r="B123" s="28" t="s">
        <v>8</v>
      </c>
      <c r="C123" s="31"/>
      <c r="D123" s="31">
        <v>8</v>
      </c>
      <c r="E123" s="2">
        <f t="shared" si="2"/>
        <v>4.8192771084337352E-2</v>
      </c>
      <c r="F123" s="31">
        <v>6</v>
      </c>
      <c r="G123" s="72">
        <f t="shared" si="3"/>
        <v>5</v>
      </c>
      <c r="H123" s="4"/>
      <c r="I123" s="84"/>
      <c r="J123" s="84"/>
      <c r="K123" s="84"/>
      <c r="L123" s="84"/>
    </row>
    <row r="124" spans="1:12" x14ac:dyDescent="0.25">
      <c r="A124" s="4"/>
      <c r="B124" s="33" t="s">
        <v>25</v>
      </c>
      <c r="C124" s="33"/>
      <c r="D124" s="33">
        <f>SUM(D103:D123)</f>
        <v>166</v>
      </c>
      <c r="E124" s="2">
        <f>SUM(E103:E123)</f>
        <v>1</v>
      </c>
      <c r="F124" s="33">
        <f>SUM(F103:F123)</f>
        <v>110</v>
      </c>
      <c r="G124" s="33">
        <f>SUM(G103:G123)</f>
        <v>108</v>
      </c>
      <c r="H124" s="4"/>
      <c r="I124" s="84"/>
      <c r="J124" s="84"/>
      <c r="K124" s="84"/>
      <c r="L124" s="84"/>
    </row>
    <row r="125" spans="1:12" x14ac:dyDescent="0.25">
      <c r="A125" s="4"/>
      <c r="B125" s="4"/>
      <c r="C125" s="4"/>
      <c r="D125" s="4"/>
      <c r="E125" s="2">
        <f>ROUND(G99*G100-G124,0)</f>
        <v>-3</v>
      </c>
      <c r="F125" s="4"/>
      <c r="G125" s="4"/>
      <c r="H125" s="4"/>
      <c r="I125" s="4"/>
      <c r="J125" s="4"/>
      <c r="K125" s="4"/>
      <c r="L125" s="4"/>
    </row>
    <row r="126" spans="1:12" x14ac:dyDescent="0.25">
      <c r="A126" s="4"/>
      <c r="B126" s="4"/>
      <c r="C126" s="4"/>
      <c r="D126" s="4"/>
      <c r="E126" s="2">
        <f>ABS(E125)</f>
        <v>3</v>
      </c>
      <c r="F126" s="4"/>
      <c r="G126" s="4"/>
      <c r="H126" s="4"/>
      <c r="I126" s="4"/>
      <c r="J126" s="4"/>
      <c r="K126" s="4"/>
      <c r="L126" s="4"/>
    </row>
    <row r="127" spans="1:12" x14ac:dyDescent="0.25">
      <c r="A127" s="4"/>
      <c r="B127" s="4"/>
      <c r="C127" s="4"/>
      <c r="D127" s="4"/>
      <c r="E127" s="2" t="str">
        <f>IF(E125&lt;0,"paljon","vähän")</f>
        <v>paljon</v>
      </c>
      <c r="F127" s="4"/>
      <c r="G127" s="4"/>
      <c r="H127" s="4"/>
      <c r="I127" s="4"/>
      <c r="J127" s="4"/>
      <c r="K127" s="4"/>
      <c r="L127" s="4"/>
    </row>
    <row r="128" spans="1:12" x14ac:dyDescent="0.25">
      <c r="A128" s="4"/>
      <c r="B128" s="4"/>
      <c r="C128" s="4"/>
      <c r="D128" s="4"/>
      <c r="E128" s="2" t="str">
        <f>IF(E125&lt;0,"paksumpi","kapeampi")</f>
        <v>paksumpi</v>
      </c>
      <c r="F128" s="4"/>
      <c r="G128" s="4"/>
      <c r="H128" s="4"/>
      <c r="I128" s="4"/>
      <c r="J128" s="4"/>
      <c r="K128" s="4"/>
      <c r="L128" s="4"/>
    </row>
    <row r="129" spans="1:12" x14ac:dyDescent="0.25">
      <c r="A129" s="4"/>
      <c r="B129" s="4"/>
      <c r="C129" s="4"/>
      <c r="D129" s="4"/>
      <c r="E129" s="23" t="str">
        <f>IF(ROUND(E126/G99,1)&lt;0.2,"(mikä on ok)","(mikä on aika paljon)")</f>
        <v>(mikä on ok)</v>
      </c>
      <c r="F129" s="4"/>
      <c r="G129" s="4"/>
      <c r="H129" s="4"/>
      <c r="I129" s="4"/>
      <c r="J129" s="4"/>
      <c r="K129" s="4"/>
      <c r="L129" s="4"/>
    </row>
    <row r="130" spans="1:12" x14ac:dyDescent="0.25">
      <c r="A130" s="4"/>
      <c r="B130" s="33" t="s">
        <v>44</v>
      </c>
      <c r="C130" s="31"/>
      <c r="D130" s="31"/>
      <c r="E130" s="23"/>
      <c r="F130" s="31"/>
      <c r="G130" s="31"/>
      <c r="H130" s="4"/>
      <c r="I130" s="4"/>
      <c r="J130" s="4"/>
      <c r="K130" s="4"/>
      <c r="L130" s="4"/>
    </row>
    <row r="131" spans="1:12" x14ac:dyDescent="0.25">
      <c r="A131" s="4"/>
      <c r="B131" s="31"/>
      <c r="C131" s="31"/>
      <c r="D131" s="31" t="s">
        <v>34</v>
      </c>
      <c r="E131" s="23"/>
      <c r="F131" s="31" t="s">
        <v>32</v>
      </c>
      <c r="G131" s="31" t="s">
        <v>33</v>
      </c>
      <c r="H131" s="4"/>
      <c r="I131" s="4"/>
      <c r="J131" s="4"/>
      <c r="K131" s="4"/>
      <c r="L131" s="4"/>
    </row>
    <row r="132" spans="1:12" x14ac:dyDescent="0.25">
      <c r="A132" s="4"/>
      <c r="B132" s="31" t="s">
        <v>36</v>
      </c>
      <c r="C132" s="31"/>
      <c r="D132" s="35"/>
      <c r="E132" s="23"/>
      <c r="F132" s="35"/>
      <c r="G132" s="64">
        <f>$G$67</f>
        <v>35</v>
      </c>
      <c r="H132" s="4"/>
      <c r="I132" s="4"/>
      <c r="J132" s="4"/>
      <c r="K132" s="4"/>
      <c r="L132" s="4"/>
    </row>
    <row r="133" spans="1:12" x14ac:dyDescent="0.25">
      <c r="A133" s="4"/>
      <c r="B133" s="39" t="s">
        <v>64</v>
      </c>
      <c r="C133" s="31"/>
      <c r="D133" s="31"/>
      <c r="E133" s="23"/>
      <c r="F133" s="37"/>
      <c r="G133" s="63">
        <f>D43</f>
        <v>1.5</v>
      </c>
      <c r="H133" s="4"/>
      <c r="I133" s="4"/>
      <c r="J133" s="4"/>
      <c r="K133" s="4"/>
      <c r="L133" s="4"/>
    </row>
    <row r="134" spans="1:12" x14ac:dyDescent="0.25">
      <c r="A134" s="4"/>
      <c r="B134" s="31"/>
      <c r="C134" s="31"/>
      <c r="D134" s="31"/>
      <c r="E134" s="23"/>
      <c r="F134" s="31"/>
      <c r="G134" s="31"/>
      <c r="H134" s="4"/>
      <c r="I134" s="4"/>
      <c r="J134" s="4"/>
      <c r="K134" s="4"/>
      <c r="L134" s="4"/>
    </row>
    <row r="135" spans="1:12" x14ac:dyDescent="0.25">
      <c r="A135" s="4"/>
      <c r="B135" s="33" t="s">
        <v>38</v>
      </c>
      <c r="C135" s="33"/>
      <c r="D135" s="33" t="s">
        <v>34</v>
      </c>
      <c r="E135" s="23"/>
      <c r="F135" s="33" t="s">
        <v>32</v>
      </c>
      <c r="G135" s="33" t="s">
        <v>33</v>
      </c>
      <c r="H135" s="4"/>
      <c r="I135" s="4"/>
      <c r="J135" s="4"/>
      <c r="K135" s="4"/>
      <c r="L135" s="4"/>
    </row>
    <row r="136" spans="1:12" x14ac:dyDescent="0.25">
      <c r="A136" s="4"/>
      <c r="B136" s="28" t="s">
        <v>8</v>
      </c>
      <c r="C136" s="31"/>
      <c r="D136" s="31">
        <v>17</v>
      </c>
      <c r="E136" s="2">
        <f>D136/$D$150</f>
        <v>0.19540229885057472</v>
      </c>
      <c r="F136" s="31">
        <v>10</v>
      </c>
      <c r="G136" s="75">
        <f>ROUND($G$132*$G$133*E136,0)</f>
        <v>10</v>
      </c>
      <c r="H136" s="4"/>
      <c r="I136" s="4"/>
      <c r="J136" s="4"/>
      <c r="K136" s="4"/>
      <c r="L136" s="4"/>
    </row>
    <row r="137" spans="1:12" x14ac:dyDescent="0.25">
      <c r="A137" s="4"/>
      <c r="B137" t="s">
        <v>46</v>
      </c>
      <c r="C137" s="31"/>
      <c r="D137" s="31">
        <v>14</v>
      </c>
      <c r="E137" s="2">
        <f t="shared" ref="E137:E149" si="4">D137/$D$150</f>
        <v>0.16091954022988506</v>
      </c>
      <c r="F137" s="31">
        <v>8</v>
      </c>
      <c r="G137" s="75">
        <f t="shared" ref="G137:G149" si="5">ROUND($G$132*$G$133*E137,0)</f>
        <v>8</v>
      </c>
      <c r="H137" s="4"/>
      <c r="I137" s="4"/>
      <c r="J137" s="4"/>
      <c r="K137" s="4"/>
      <c r="L137" s="4"/>
    </row>
    <row r="138" spans="1:12" x14ac:dyDescent="0.25">
      <c r="A138" s="4"/>
      <c r="B138" s="28" t="s">
        <v>8</v>
      </c>
      <c r="C138" s="31"/>
      <c r="D138" s="31">
        <v>12</v>
      </c>
      <c r="E138" s="2">
        <f t="shared" si="4"/>
        <v>0.13793103448275862</v>
      </c>
      <c r="F138" s="31">
        <v>9</v>
      </c>
      <c r="G138" s="75">
        <f t="shared" si="5"/>
        <v>7</v>
      </c>
      <c r="H138" s="4"/>
      <c r="I138" s="4"/>
      <c r="J138" s="4"/>
      <c r="K138" s="4"/>
      <c r="L138" s="4"/>
    </row>
    <row r="139" spans="1:12" x14ac:dyDescent="0.25">
      <c r="A139" s="4"/>
      <c r="B139" s="29" t="s">
        <v>10</v>
      </c>
      <c r="C139" s="31"/>
      <c r="D139" s="31">
        <v>3</v>
      </c>
      <c r="E139" s="2">
        <f t="shared" si="4"/>
        <v>3.4482758620689655E-2</v>
      </c>
      <c r="F139" s="31">
        <v>2</v>
      </c>
      <c r="G139" s="75">
        <f t="shared" si="5"/>
        <v>2</v>
      </c>
      <c r="H139" s="4"/>
      <c r="I139" s="4"/>
      <c r="J139" s="4"/>
      <c r="K139" s="4"/>
      <c r="L139" s="4"/>
    </row>
    <row r="140" spans="1:12" x14ac:dyDescent="0.25">
      <c r="A140" s="4"/>
      <c r="B140" s="28" t="s">
        <v>8</v>
      </c>
      <c r="C140" s="31"/>
      <c r="D140" s="31">
        <v>3</v>
      </c>
      <c r="E140" s="2">
        <f t="shared" si="4"/>
        <v>3.4482758620689655E-2</v>
      </c>
      <c r="F140" s="31">
        <v>2</v>
      </c>
      <c r="G140" s="75">
        <f t="shared" si="5"/>
        <v>2</v>
      </c>
      <c r="H140" s="4"/>
      <c r="I140" s="4"/>
      <c r="J140" s="4"/>
      <c r="K140" s="4"/>
      <c r="L140" s="4"/>
    </row>
    <row r="141" spans="1:12" x14ac:dyDescent="0.25">
      <c r="A141" s="4"/>
      <c r="B141" s="29" t="s">
        <v>10</v>
      </c>
      <c r="C141" s="31"/>
      <c r="D141" s="31">
        <v>1</v>
      </c>
      <c r="E141" s="2">
        <f t="shared" si="4"/>
        <v>1.1494252873563218E-2</v>
      </c>
      <c r="F141" s="31">
        <v>1</v>
      </c>
      <c r="G141" s="75">
        <f t="shared" si="5"/>
        <v>1</v>
      </c>
      <c r="H141" s="4"/>
      <c r="I141" s="4"/>
      <c r="J141" s="4"/>
      <c r="K141" s="4"/>
      <c r="L141" s="4"/>
    </row>
    <row r="142" spans="1:12" x14ac:dyDescent="0.25">
      <c r="A142" s="4"/>
      <c r="B142" s="27" t="s">
        <v>9</v>
      </c>
      <c r="C142" s="31"/>
      <c r="D142" s="31">
        <v>1</v>
      </c>
      <c r="E142" s="2">
        <f t="shared" si="4"/>
        <v>1.1494252873563218E-2</v>
      </c>
      <c r="F142" s="31">
        <v>1</v>
      </c>
      <c r="G142" s="75">
        <f t="shared" si="5"/>
        <v>1</v>
      </c>
      <c r="H142" s="4"/>
      <c r="I142" s="4"/>
      <c r="J142" s="4"/>
      <c r="K142" s="4"/>
      <c r="L142" s="4"/>
    </row>
    <row r="143" spans="1:12" x14ac:dyDescent="0.25">
      <c r="A143" s="4"/>
      <c r="B143" s="29" t="s">
        <v>10</v>
      </c>
      <c r="C143" s="31"/>
      <c r="D143" s="31">
        <v>1</v>
      </c>
      <c r="E143" s="2">
        <f t="shared" si="4"/>
        <v>1.1494252873563218E-2</v>
      </c>
      <c r="F143" s="31">
        <v>1</v>
      </c>
      <c r="G143" s="75">
        <f t="shared" si="5"/>
        <v>1</v>
      </c>
      <c r="H143" s="4"/>
      <c r="I143" s="4"/>
      <c r="J143" s="4"/>
      <c r="K143" s="4"/>
      <c r="L143" s="4"/>
    </row>
    <row r="144" spans="1:12" x14ac:dyDescent="0.25">
      <c r="A144" s="4"/>
      <c r="B144" s="27" t="s">
        <v>9</v>
      </c>
      <c r="C144" s="31"/>
      <c r="D144" s="31">
        <v>1</v>
      </c>
      <c r="E144" s="2">
        <f t="shared" si="4"/>
        <v>1.1494252873563218E-2</v>
      </c>
      <c r="F144" s="31">
        <v>1</v>
      </c>
      <c r="G144" s="75">
        <f t="shared" si="5"/>
        <v>1</v>
      </c>
      <c r="H144" s="4"/>
      <c r="I144" s="4"/>
      <c r="J144" s="4"/>
      <c r="K144" s="4"/>
      <c r="L144" s="4"/>
    </row>
    <row r="145" spans="1:12" x14ac:dyDescent="0.25">
      <c r="A145" s="4"/>
      <c r="B145" s="28" t="s">
        <v>8</v>
      </c>
      <c r="C145" s="31"/>
      <c r="D145" s="31">
        <v>4</v>
      </c>
      <c r="E145" s="2">
        <f t="shared" si="4"/>
        <v>4.5977011494252873E-2</v>
      </c>
      <c r="F145" s="31">
        <v>4</v>
      </c>
      <c r="G145" s="75">
        <f t="shared" si="5"/>
        <v>2</v>
      </c>
      <c r="H145" s="4"/>
      <c r="I145" s="4"/>
      <c r="J145" s="4"/>
      <c r="K145" s="4"/>
      <c r="L145" s="4"/>
    </row>
    <row r="146" spans="1:12" x14ac:dyDescent="0.25">
      <c r="A146" s="4"/>
      <c r="B146" s="29" t="s">
        <v>10</v>
      </c>
      <c r="C146" s="31"/>
      <c r="D146" s="31">
        <v>3</v>
      </c>
      <c r="E146" s="2">
        <f t="shared" si="4"/>
        <v>3.4482758620689655E-2</v>
      </c>
      <c r="F146" s="31">
        <v>3</v>
      </c>
      <c r="G146" s="75">
        <f t="shared" si="5"/>
        <v>2</v>
      </c>
      <c r="H146" s="4"/>
      <c r="I146" s="4"/>
      <c r="J146" s="4"/>
      <c r="K146" s="4"/>
      <c r="L146" s="4"/>
    </row>
    <row r="147" spans="1:12" x14ac:dyDescent="0.25">
      <c r="A147" s="4"/>
      <c r="B147" s="28" t="s">
        <v>8</v>
      </c>
      <c r="C147" s="31"/>
      <c r="D147" s="31">
        <v>10</v>
      </c>
      <c r="E147" s="2">
        <f t="shared" si="4"/>
        <v>0.11494252873563218</v>
      </c>
      <c r="F147" s="31">
        <v>6</v>
      </c>
      <c r="G147" s="75">
        <f t="shared" si="5"/>
        <v>6</v>
      </c>
      <c r="H147" s="4"/>
      <c r="I147" s="84" t="str">
        <f>IF(E152=0,"👍","Pyöristyksen takia tässä on "&amp;E152&amp;" lankaa liian "&amp;E153&amp;", eli raidasta tulee "&amp;ROUND(E152/G132*10,0)&amp;" mm suunnittelemaasi "&amp;E154&amp;" "&amp;E155)</f>
        <v>Pyöristyksen takia tässä on 1 lankaa liian paljon, eli raidasta tulee 0 mm suunnittelemaasi paksumpi (mikä on ok)</v>
      </c>
      <c r="J147" s="84"/>
      <c r="K147" s="84"/>
      <c r="L147" s="84"/>
    </row>
    <row r="148" spans="1:12" x14ac:dyDescent="0.25">
      <c r="A148" s="4"/>
      <c r="B148" s="27" t="s">
        <v>9</v>
      </c>
      <c r="C148" s="31"/>
      <c r="D148" s="31">
        <v>3</v>
      </c>
      <c r="E148" s="2">
        <f t="shared" si="4"/>
        <v>3.4482758620689655E-2</v>
      </c>
      <c r="F148" s="31">
        <v>2</v>
      </c>
      <c r="G148" s="75">
        <f t="shared" si="5"/>
        <v>2</v>
      </c>
      <c r="H148" s="4"/>
      <c r="I148" s="84"/>
      <c r="J148" s="84"/>
      <c r="K148" s="84"/>
      <c r="L148" s="84"/>
    </row>
    <row r="149" spans="1:12" x14ac:dyDescent="0.25">
      <c r="A149" s="4"/>
      <c r="B149" s="28" t="s">
        <v>8</v>
      </c>
      <c r="C149" s="31"/>
      <c r="D149" s="31">
        <v>14</v>
      </c>
      <c r="E149" s="2">
        <f t="shared" si="4"/>
        <v>0.16091954022988506</v>
      </c>
      <c r="F149" s="31">
        <v>8</v>
      </c>
      <c r="G149" s="75">
        <f t="shared" si="5"/>
        <v>8</v>
      </c>
      <c r="H149" s="4"/>
      <c r="I149" s="84"/>
      <c r="J149" s="84"/>
      <c r="K149" s="84"/>
      <c r="L149" s="84"/>
    </row>
    <row r="150" spans="1:12" x14ac:dyDescent="0.25">
      <c r="A150" s="4"/>
      <c r="B150" s="33" t="s">
        <v>25</v>
      </c>
      <c r="C150" s="33"/>
      <c r="D150" s="33">
        <f>SUM(D136:D149)</f>
        <v>87</v>
      </c>
      <c r="E150" s="38">
        <f>SUM(E136:E149)</f>
        <v>0.99999999999999989</v>
      </c>
      <c r="F150" s="33">
        <f>SUM(F136:F149)</f>
        <v>58</v>
      </c>
      <c r="G150" s="33">
        <f>SUM(G136:G149)</f>
        <v>53</v>
      </c>
      <c r="H150" s="4"/>
      <c r="I150" s="84"/>
      <c r="J150" s="84"/>
      <c r="K150" s="84"/>
      <c r="L150" s="84"/>
    </row>
    <row r="151" spans="1:12" x14ac:dyDescent="0.25">
      <c r="A151" s="4"/>
      <c r="B151" s="4"/>
      <c r="C151" s="4"/>
      <c r="D151" s="4"/>
      <c r="E151" s="2">
        <f>ROUND(G132*G133-G150,0)</f>
        <v>-1</v>
      </c>
      <c r="F151" s="4"/>
      <c r="G151" s="4"/>
      <c r="H151" s="4"/>
      <c r="I151" s="4"/>
      <c r="J151" s="4"/>
      <c r="K151" s="4"/>
      <c r="L151" s="4"/>
    </row>
    <row r="152" spans="1:12" x14ac:dyDescent="0.25">
      <c r="A152" s="4"/>
      <c r="B152" s="4"/>
      <c r="C152" s="4"/>
      <c r="D152" s="4"/>
      <c r="E152" s="2">
        <f>ABS(E151)</f>
        <v>1</v>
      </c>
      <c r="F152" s="4"/>
      <c r="G152" s="4"/>
      <c r="H152" s="4"/>
      <c r="I152" s="4"/>
      <c r="J152" s="4"/>
      <c r="K152" s="4"/>
      <c r="L152" s="4"/>
    </row>
    <row r="153" spans="1:12" x14ac:dyDescent="0.25">
      <c r="A153" s="4"/>
      <c r="B153" s="4"/>
      <c r="C153" s="4"/>
      <c r="D153" s="4"/>
      <c r="E153" s="2" t="str">
        <f>IF(E151&lt;0,"paljon","vähän")</f>
        <v>paljon</v>
      </c>
      <c r="F153" s="4"/>
      <c r="G153" s="4"/>
      <c r="H153" s="4"/>
      <c r="I153" s="4"/>
      <c r="J153" s="4"/>
      <c r="K153" s="4"/>
      <c r="L153" s="4"/>
    </row>
    <row r="154" spans="1:12" x14ac:dyDescent="0.25">
      <c r="A154" s="4"/>
      <c r="B154" s="4"/>
      <c r="C154" s="4"/>
      <c r="D154" s="4"/>
      <c r="E154" s="2" t="str">
        <f>IF(E151&lt;0,"paksumpi","kapeampi")</f>
        <v>paksumpi</v>
      </c>
      <c r="F154" s="4"/>
      <c r="G154" s="4"/>
      <c r="H154" s="4"/>
      <c r="I154" s="4"/>
      <c r="J154" s="4"/>
      <c r="K154" s="4"/>
      <c r="L154" s="4"/>
    </row>
    <row r="155" spans="1:12" x14ac:dyDescent="0.25">
      <c r="A155" s="4"/>
      <c r="B155" s="4"/>
      <c r="C155" s="4"/>
      <c r="D155" s="4"/>
      <c r="E155" s="23" t="str">
        <f>IF(ROUND(E152/G132,1)&lt;0.2,"(mikä on ok)","(mikä on aika paljon)")</f>
        <v>(mikä on ok)</v>
      </c>
      <c r="F155" s="4"/>
      <c r="G155" s="4"/>
      <c r="H155" s="4"/>
      <c r="I155" s="4"/>
      <c r="J155" s="4"/>
      <c r="K155" s="4"/>
      <c r="L155" s="4"/>
    </row>
    <row r="156" spans="1:12" x14ac:dyDescent="0.25">
      <c r="A156" s="4"/>
      <c r="B156" s="33" t="s">
        <v>53</v>
      </c>
      <c r="C156" s="31"/>
      <c r="D156" s="31"/>
      <c r="E156" s="23"/>
      <c r="F156" s="31"/>
      <c r="G156" s="31"/>
      <c r="H156" s="4"/>
      <c r="I156" s="4"/>
      <c r="J156" s="4"/>
      <c r="K156" s="4"/>
      <c r="L156" s="4"/>
    </row>
    <row r="157" spans="1:12" x14ac:dyDescent="0.25">
      <c r="A157" s="4"/>
      <c r="B157" s="31"/>
      <c r="C157" s="31"/>
      <c r="D157" s="31" t="s">
        <v>34</v>
      </c>
      <c r="E157" s="23"/>
      <c r="F157" s="31" t="s">
        <v>32</v>
      </c>
      <c r="G157" s="31" t="s">
        <v>33</v>
      </c>
      <c r="H157" s="4"/>
      <c r="I157" s="4"/>
      <c r="J157" s="4"/>
      <c r="K157" s="4"/>
      <c r="L157" s="4"/>
    </row>
    <row r="158" spans="1:12" x14ac:dyDescent="0.25">
      <c r="A158" s="4"/>
      <c r="B158" s="31" t="s">
        <v>36</v>
      </c>
      <c r="C158" s="31"/>
      <c r="D158" s="35"/>
      <c r="E158" s="23"/>
      <c r="F158" s="35"/>
      <c r="G158" s="64">
        <f>$G$67</f>
        <v>35</v>
      </c>
      <c r="H158" s="4"/>
      <c r="I158" s="4"/>
      <c r="J158" s="4"/>
      <c r="K158" s="4"/>
      <c r="L158" s="4"/>
    </row>
    <row r="159" spans="1:12" x14ac:dyDescent="0.25">
      <c r="A159" s="4"/>
      <c r="B159" s="39" t="s">
        <v>64</v>
      </c>
      <c r="C159" s="31"/>
      <c r="D159" s="31"/>
      <c r="E159" s="23"/>
      <c r="F159" s="37"/>
      <c r="G159" s="63">
        <f>D39</f>
        <v>0.4</v>
      </c>
      <c r="H159" s="4"/>
      <c r="I159" s="4"/>
      <c r="J159" s="4"/>
      <c r="K159" s="4"/>
      <c r="L159" s="4"/>
    </row>
    <row r="160" spans="1:12" x14ac:dyDescent="0.25">
      <c r="A160" s="4"/>
      <c r="B160" s="31"/>
      <c r="C160" s="31"/>
      <c r="D160" s="31"/>
      <c r="E160" s="23"/>
      <c r="F160" s="31"/>
      <c r="G160" s="31"/>
      <c r="H160" s="4"/>
      <c r="I160" s="4"/>
      <c r="J160" s="4"/>
      <c r="K160" s="4"/>
      <c r="L160" s="4"/>
    </row>
    <row r="161" spans="1:12" x14ac:dyDescent="0.25">
      <c r="A161" s="4"/>
      <c r="B161" s="33" t="s">
        <v>38</v>
      </c>
      <c r="C161" s="33"/>
      <c r="D161" s="33" t="s">
        <v>34</v>
      </c>
      <c r="E161" s="23"/>
      <c r="F161" s="33" t="s">
        <v>32</v>
      </c>
      <c r="G161" s="33" t="s">
        <v>33</v>
      </c>
      <c r="H161" s="4"/>
      <c r="I161" s="4"/>
      <c r="J161" s="4"/>
      <c r="K161" s="4"/>
      <c r="L161" s="4"/>
    </row>
    <row r="162" spans="1:12" ht="15" customHeight="1" x14ac:dyDescent="0.25">
      <c r="A162" s="4"/>
      <c r="B162" s="28" t="s">
        <v>8</v>
      </c>
      <c r="C162" s="31"/>
      <c r="D162" s="31">
        <v>9</v>
      </c>
      <c r="E162" s="2">
        <f>D162/$D$165</f>
        <v>0.45</v>
      </c>
      <c r="F162" s="31">
        <v>6</v>
      </c>
      <c r="G162" s="75">
        <f>ROUND($G$158*$G$159*E162,0)</f>
        <v>6</v>
      </c>
      <c r="H162" s="4"/>
      <c r="I162" s="84" t="str">
        <f>IF(E167=0,"👍","Pyöristyksen takia tässä on "&amp;E167&amp;" lankaa liian "&amp;E168&amp;", eli raidasta tulee "&amp;ROUND(E167/G158*10,0)&amp;" mm suunnittelemaasi "&amp;E169&amp;" "&amp;E170)</f>
        <v>👍</v>
      </c>
      <c r="J162" s="84"/>
      <c r="K162" s="84"/>
      <c r="L162" s="84"/>
    </row>
    <row r="163" spans="1:12" x14ac:dyDescent="0.25">
      <c r="A163" s="4"/>
      <c r="B163" s="27" t="s">
        <v>9</v>
      </c>
      <c r="C163" s="31"/>
      <c r="D163" s="31">
        <v>4</v>
      </c>
      <c r="E163" s="2">
        <f t="shared" ref="E163:E164" si="6">D163/$D$165</f>
        <v>0.2</v>
      </c>
      <c r="F163" s="31">
        <v>1</v>
      </c>
      <c r="G163" s="75">
        <f t="shared" ref="G163:G164" si="7">ROUND($G$158*$G$159*E163,0)</f>
        <v>3</v>
      </c>
      <c r="H163" s="4"/>
      <c r="I163" s="84"/>
      <c r="J163" s="84"/>
      <c r="K163" s="84"/>
      <c r="L163" s="84"/>
    </row>
    <row r="164" spans="1:12" x14ac:dyDescent="0.25">
      <c r="A164" s="4"/>
      <c r="B164" s="28" t="s">
        <v>8</v>
      </c>
      <c r="C164" s="31"/>
      <c r="D164" s="31">
        <v>7</v>
      </c>
      <c r="E164" s="2">
        <f t="shared" si="6"/>
        <v>0.35</v>
      </c>
      <c r="F164" s="31">
        <v>6</v>
      </c>
      <c r="G164" s="75">
        <f t="shared" si="7"/>
        <v>5</v>
      </c>
      <c r="H164" s="4"/>
      <c r="I164" s="84"/>
      <c r="J164" s="84"/>
      <c r="K164" s="84"/>
      <c r="L164" s="84"/>
    </row>
    <row r="165" spans="1:12" x14ac:dyDescent="0.25">
      <c r="A165" s="4"/>
      <c r="B165" s="33" t="s">
        <v>25</v>
      </c>
      <c r="C165" s="33"/>
      <c r="D165" s="33">
        <f>SUM(D162:D164)</f>
        <v>20</v>
      </c>
      <c r="E165" s="38">
        <f>SUM(E162:E164)</f>
        <v>1</v>
      </c>
      <c r="F165" s="33">
        <f>SUM(F162:F164)</f>
        <v>13</v>
      </c>
      <c r="G165" s="33">
        <f>SUM(G162:G164)</f>
        <v>14</v>
      </c>
      <c r="H165" s="4"/>
      <c r="I165" s="84"/>
      <c r="J165" s="84"/>
      <c r="K165" s="84"/>
      <c r="L165" s="84"/>
    </row>
    <row r="166" spans="1:12" x14ac:dyDescent="0.25">
      <c r="A166" s="4"/>
      <c r="B166" s="4"/>
      <c r="C166" s="4"/>
      <c r="D166" s="4"/>
      <c r="E166" s="2">
        <f>ROUND(G158*G159-G165,0)</f>
        <v>0</v>
      </c>
      <c r="F166" s="4"/>
      <c r="G166" s="4"/>
      <c r="H166" s="4"/>
      <c r="I166" s="4"/>
      <c r="J166" s="4"/>
      <c r="K166" s="4"/>
      <c r="L166" s="4"/>
    </row>
    <row r="167" spans="1:12" x14ac:dyDescent="0.25">
      <c r="A167" s="4"/>
      <c r="B167" s="4"/>
      <c r="C167" s="4"/>
      <c r="D167" s="4"/>
      <c r="E167" s="2">
        <f>ABS(E166)</f>
        <v>0</v>
      </c>
      <c r="F167" s="4"/>
      <c r="G167" s="4"/>
      <c r="H167" s="4"/>
      <c r="I167" s="4"/>
      <c r="J167" s="4"/>
      <c r="K167" s="4"/>
      <c r="L167" s="4"/>
    </row>
    <row r="168" spans="1:12" x14ac:dyDescent="0.25">
      <c r="A168" s="4"/>
      <c r="B168" s="4"/>
      <c r="C168" s="4"/>
      <c r="D168" s="4"/>
      <c r="E168" s="2" t="str">
        <f>IF(E166&lt;0,"paljon","vähän")</f>
        <v>vähän</v>
      </c>
      <c r="F168" s="4"/>
      <c r="G168" s="4"/>
      <c r="H168" s="4"/>
      <c r="I168" s="4"/>
      <c r="J168" s="4"/>
      <c r="K168" s="4"/>
      <c r="L168" s="4"/>
    </row>
    <row r="169" spans="1:12" x14ac:dyDescent="0.25">
      <c r="A169" s="4"/>
      <c r="B169" s="4"/>
      <c r="C169" s="4"/>
      <c r="D169" s="4"/>
      <c r="E169" s="2" t="str">
        <f>IF(E166&lt;0,"paksumpi","kapeampi")</f>
        <v>kapeampi</v>
      </c>
      <c r="F169" s="4"/>
      <c r="G169" s="4"/>
      <c r="H169" s="4"/>
      <c r="I169" s="4"/>
      <c r="J169" s="4"/>
      <c r="K169" s="4"/>
      <c r="L169" s="4"/>
    </row>
    <row r="170" spans="1:12" x14ac:dyDescent="0.25">
      <c r="A170" s="4"/>
      <c r="B170" s="4"/>
      <c r="C170" s="4"/>
      <c r="D170" s="4"/>
      <c r="E170" s="23" t="str">
        <f>IF(ROUND(E167/G158,1)&lt;0.2,"(mikä on ok)","(mikä on aika paljon)")</f>
        <v>(mikä on ok)</v>
      </c>
      <c r="F170" s="4"/>
      <c r="G170" s="4"/>
      <c r="H170" s="4"/>
      <c r="I170" s="4"/>
      <c r="J170" s="4"/>
      <c r="K170" s="4"/>
      <c r="L170" s="4"/>
    </row>
    <row r="171" spans="1:12" ht="15" customHeight="1" x14ac:dyDescent="0.25">
      <c r="A171" s="66"/>
      <c r="B171" s="66"/>
      <c r="C171" s="66"/>
      <c r="D171" s="66"/>
      <c r="E171" s="67">
        <f>(E95+E125)*D9+E166</f>
        <v>-35</v>
      </c>
      <c r="F171" s="92" t="str">
        <f>"Pyöristyksen takia koko esiliinaan tulee "&amp;E172&amp;" kudelankaa "&amp;E173&amp;" kuin pitäisi. Sen takia esiliinasta tulee "&amp;(ROUND((E172/G67),1)&amp;" cm "&amp;E174&amp;" kuin mitä suunnittelit.")</f>
        <v>Pyöristyksen takia koko esiliinaan tulee 35 kudelankaa enemmän kuin pitäisi. Sen takia esiliinasta tulee 1 cm pidempi kuin mitä suunnittelit.</v>
      </c>
      <c r="G171" s="92"/>
      <c r="H171" s="92"/>
      <c r="I171" s="92"/>
      <c r="J171" s="92"/>
      <c r="K171" s="92"/>
      <c r="L171" s="69"/>
    </row>
    <row r="172" spans="1:12" x14ac:dyDescent="0.25">
      <c r="A172" s="66"/>
      <c r="B172" s="66"/>
      <c r="C172" s="66"/>
      <c r="D172" s="66"/>
      <c r="E172" s="67">
        <f>ABS(E171)</f>
        <v>35</v>
      </c>
      <c r="F172" s="92"/>
      <c r="G172" s="92"/>
      <c r="H172" s="92"/>
      <c r="I172" s="92"/>
      <c r="J172" s="92"/>
      <c r="K172" s="92"/>
      <c r="L172" s="69"/>
    </row>
    <row r="173" spans="1:12" x14ac:dyDescent="0.25">
      <c r="A173" s="66"/>
      <c r="B173" s="68" t="s">
        <v>65</v>
      </c>
      <c r="C173" s="66"/>
      <c r="D173" s="66"/>
      <c r="E173" s="67" t="str">
        <f>IF(E171&lt;0,"enemmän","vähemmän")</f>
        <v>enemmän</v>
      </c>
      <c r="F173" s="92"/>
      <c r="G173" s="92"/>
      <c r="H173" s="92"/>
      <c r="I173" s="92"/>
      <c r="J173" s="92"/>
      <c r="K173" s="92"/>
      <c r="L173" s="69"/>
    </row>
    <row r="174" spans="1:12" ht="15" customHeight="1" x14ac:dyDescent="0.25">
      <c r="A174" s="66"/>
      <c r="B174" s="89" t="s">
        <v>66</v>
      </c>
      <c r="C174" s="89"/>
      <c r="D174" s="66"/>
      <c r="E174" s="67" t="str">
        <f>IF(E171&lt;0,"pidempi","lyhyempi")</f>
        <v>pidempi</v>
      </c>
      <c r="F174" s="92"/>
      <c r="G174" s="92"/>
      <c r="H174" s="92"/>
      <c r="I174" s="92"/>
      <c r="J174" s="92"/>
      <c r="K174" s="92"/>
      <c r="L174" s="70"/>
    </row>
    <row r="175" spans="1:12" ht="15" customHeight="1" x14ac:dyDescent="0.25">
      <c r="A175" s="66"/>
      <c r="B175" s="89"/>
      <c r="C175" s="89"/>
      <c r="D175" s="66"/>
      <c r="E175" s="67"/>
      <c r="F175" s="91" t="s">
        <v>82</v>
      </c>
      <c r="G175" s="91"/>
      <c r="H175" s="91"/>
      <c r="I175" s="91"/>
      <c r="J175" s="91"/>
      <c r="K175" s="91"/>
      <c r="L175" s="71"/>
    </row>
    <row r="176" spans="1:12" x14ac:dyDescent="0.25">
      <c r="A176" s="66"/>
      <c r="B176" s="66"/>
      <c r="C176" s="66"/>
      <c r="D176" s="66"/>
      <c r="E176" s="67"/>
      <c r="F176" s="91"/>
      <c r="G176" s="91"/>
      <c r="H176" s="91"/>
      <c r="I176" s="91"/>
      <c r="J176" s="91"/>
      <c r="K176" s="91"/>
      <c r="L176" s="71"/>
    </row>
    <row r="177" spans="1:12" x14ac:dyDescent="0.25">
      <c r="A177" s="70"/>
      <c r="B177" s="70"/>
      <c r="C177" s="70"/>
      <c r="D177" s="70"/>
      <c r="E177" s="70"/>
      <c r="F177" s="91"/>
      <c r="G177" s="91"/>
      <c r="H177" s="91"/>
      <c r="I177" s="91"/>
      <c r="J177" s="91"/>
      <c r="K177" s="91"/>
      <c r="L177" s="71"/>
    </row>
    <row r="178" spans="1:12" x14ac:dyDescent="0.25">
      <c r="A178" s="70"/>
      <c r="B178" s="70"/>
      <c r="C178" s="70"/>
      <c r="D178" s="70"/>
      <c r="E178" s="70"/>
      <c r="F178" s="91"/>
      <c r="G178" s="91"/>
      <c r="H178" s="91"/>
      <c r="I178" s="91"/>
      <c r="J178" s="91"/>
      <c r="K178" s="91"/>
      <c r="L178" s="71"/>
    </row>
    <row r="179" spans="1:12" x14ac:dyDescent="0.25">
      <c r="A179" s="70"/>
      <c r="B179" s="70"/>
      <c r="C179" s="70"/>
      <c r="D179" s="70"/>
      <c r="E179" s="70"/>
      <c r="F179" s="91"/>
      <c r="G179" s="91"/>
      <c r="H179" s="91"/>
      <c r="I179" s="91"/>
      <c r="J179" s="91"/>
      <c r="K179" s="91"/>
      <c r="L179" s="70"/>
    </row>
    <row r="180" spans="1:12" x14ac:dyDescent="0.25">
      <c r="A180" s="70"/>
      <c r="B180" s="70"/>
      <c r="C180" s="70"/>
      <c r="D180" s="70"/>
      <c r="E180" s="70"/>
      <c r="F180" s="91"/>
      <c r="G180" s="91"/>
      <c r="H180" s="91"/>
      <c r="I180" s="91"/>
      <c r="J180" s="91"/>
      <c r="K180" s="91"/>
      <c r="L180" s="70"/>
    </row>
  </sheetData>
  <mergeCells count="37">
    <mergeCell ref="B174:C175"/>
    <mergeCell ref="F51:K56"/>
    <mergeCell ref="F175:K180"/>
    <mergeCell ref="F2:F7"/>
    <mergeCell ref="I162:L165"/>
    <mergeCell ref="B52:C52"/>
    <mergeCell ref="B3:C3"/>
    <mergeCell ref="G38:K44"/>
    <mergeCell ref="G30:K33"/>
    <mergeCell ref="G34:K36"/>
    <mergeCell ref="F171:K174"/>
    <mergeCell ref="A49:A55"/>
    <mergeCell ref="B51:C51"/>
    <mergeCell ref="I147:L150"/>
    <mergeCell ref="I121:L124"/>
    <mergeCell ref="I91:L94"/>
    <mergeCell ref="I86:L90"/>
    <mergeCell ref="I81:L84"/>
    <mergeCell ref="F57:H63"/>
    <mergeCell ref="I66:L68"/>
    <mergeCell ref="I69:L74"/>
    <mergeCell ref="I57:K63"/>
    <mergeCell ref="I76:J80"/>
    <mergeCell ref="K77:K80"/>
    <mergeCell ref="I113:J116"/>
    <mergeCell ref="K113:K116"/>
    <mergeCell ref="A11:A13"/>
    <mergeCell ref="A27:A29"/>
    <mergeCell ref="A1:A7"/>
    <mergeCell ref="B4:C4"/>
    <mergeCell ref="G9:K10"/>
    <mergeCell ref="G11:K12"/>
    <mergeCell ref="G13:K15"/>
    <mergeCell ref="G2:K4"/>
    <mergeCell ref="G25:K27"/>
    <mergeCell ref="G16:K19"/>
    <mergeCell ref="G28:K29"/>
  </mergeCells>
  <conditionalFormatting sqref="F76:I76 K76:L77 L78:L80 F81:I81 F91:L112 F113:I113 K113:L113 L114:L116 F117:L170 F114:H116 F1:L1 F2:G2 L2:L64 D3 G5:K8 G9 G11 G13 G16 F19:F47 G25:K27 D27:D44 G37:K37 G38 G45:K47 D47 F48:K50 F51 F57 I57 F64 I64 F67:G75 F77:H80 F82:H90">
    <cfRule type="containsText" dxfId="12" priority="9" operator="containsText" text="mikä on aika paljon">
      <formula>NOT(ISERROR(SEARCH("mikä on aika paljon",D1)))</formula>
    </cfRule>
  </conditionalFormatting>
  <conditionalFormatting sqref="G75:G94">
    <cfRule type="cellIs" dxfId="11" priority="24" operator="lessThan">
      <formula>1</formula>
    </cfRule>
  </conditionalFormatting>
  <conditionalFormatting sqref="G103:G123">
    <cfRule type="cellIs" dxfId="10" priority="6" operator="lessThan">
      <formula>1</formula>
    </cfRule>
    <cfRule type="cellIs" dxfId="9" priority="23" operator="lessThan">
      <formula>1</formula>
    </cfRule>
  </conditionalFormatting>
  <conditionalFormatting sqref="G136:G149">
    <cfRule type="cellIs" dxfId="8" priority="4" operator="lessThan">
      <formula>1</formula>
    </cfRule>
    <cfRule type="cellIs" dxfId="7" priority="13" operator="lessThan">
      <formula>1</formula>
    </cfRule>
  </conditionalFormatting>
  <conditionalFormatting sqref="G162:G164">
    <cfRule type="cellIs" dxfId="6" priority="1" operator="lessThan">
      <formula>1</formula>
    </cfRule>
    <cfRule type="cellIs" dxfId="5" priority="11" operator="lessThan">
      <formula>1</formula>
    </cfRule>
  </conditionalFormatting>
  <conditionalFormatting sqref="I76 K76:L77 L78:L80 I81 I91:L112 I113 K113:L113 L114:L116 I117:L170">
    <cfRule type="containsText" dxfId="4" priority="7" operator="containsText" text="mikä on ok">
      <formula>NOT(ISERROR(SEARCH("mikä on ok",I76)))</formula>
    </cfRule>
    <cfRule type="containsText" dxfId="3" priority="8" operator="containsText" text="👍">
      <formula>NOT(ISERROR(SEARCH("👍",I76)))</formula>
    </cfRule>
  </conditionalFormatting>
  <pageMargins left="0.28125" right="0.4375" top="0.75" bottom="0.52083333333333337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625D8-F502-4986-9ACF-A4A76DB6F9F2}">
  <sheetPr codeName="Taul2"/>
  <dimension ref="A1:I95"/>
  <sheetViews>
    <sheetView view="pageLayout" zoomScaleNormal="100" workbookViewId="0">
      <selection activeCell="F84" sqref="F84"/>
    </sheetView>
  </sheetViews>
  <sheetFormatPr defaultRowHeight="15" x14ac:dyDescent="0.25"/>
  <sheetData>
    <row r="1" spans="1:9" x14ac:dyDescent="0.25">
      <c r="A1" s="46" t="s">
        <v>47</v>
      </c>
      <c r="B1" s="46"/>
      <c r="C1" s="46"/>
      <c r="D1" s="46"/>
      <c r="E1" s="46"/>
      <c r="F1" s="47">
        <f>laskuri!D24+(-1)*laskuri!E171/laskuri!G67*(1-laskuri!D28)</f>
        <v>69.930000000000007</v>
      </c>
      <c r="G1" s="46" t="s">
        <v>29</v>
      </c>
      <c r="H1" s="46"/>
      <c r="I1" s="46"/>
    </row>
    <row r="2" spans="1:9" x14ac:dyDescent="0.25">
      <c r="A2" s="46" t="s">
        <v>48</v>
      </c>
      <c r="B2" s="46"/>
      <c r="C2" s="46"/>
      <c r="D2" s="46"/>
      <c r="E2" s="46"/>
      <c r="F2" s="47">
        <f>laskuri!D47+(-1)*laskuri!E171/laskuri!G67</f>
        <v>87.3</v>
      </c>
      <c r="G2" s="46" t="s">
        <v>29</v>
      </c>
      <c r="H2" s="46"/>
      <c r="I2" s="46"/>
    </row>
    <row r="3" spans="1:9" x14ac:dyDescent="0.25">
      <c r="A3" s="46" t="s">
        <v>57</v>
      </c>
      <c r="B3" s="46"/>
      <c r="C3" s="46"/>
      <c r="D3" s="46"/>
      <c r="E3" s="46"/>
      <c r="F3" s="55">
        <f>laskuri!D9</f>
        <v>7</v>
      </c>
      <c r="G3" s="46"/>
      <c r="H3" s="46"/>
      <c r="I3" s="46"/>
    </row>
    <row r="4" spans="1:9" x14ac:dyDescent="0.25">
      <c r="A4" s="46" t="s">
        <v>49</v>
      </c>
      <c r="B4" s="46"/>
      <c r="C4" s="46"/>
      <c r="D4" s="46"/>
      <c r="E4" s="46"/>
      <c r="F4" s="46">
        <f>laskuri!G67</f>
        <v>35</v>
      </c>
      <c r="G4" s="46"/>
      <c r="H4" s="46"/>
      <c r="I4" s="46"/>
    </row>
    <row r="5" spans="1:9" x14ac:dyDescent="0.25">
      <c r="A5" s="46" t="s">
        <v>56</v>
      </c>
      <c r="B5" s="46"/>
      <c r="C5" s="46"/>
      <c r="D5" s="46"/>
      <c r="E5" s="46"/>
      <c r="F5" s="54">
        <f>laskuri!D28</f>
        <v>7.0000000000000007E-2</v>
      </c>
      <c r="G5" s="46"/>
      <c r="H5" s="46"/>
      <c r="I5" s="46"/>
    </row>
    <row r="6" spans="1:9" x14ac:dyDescent="0.25">
      <c r="A6" s="4" t="str">
        <f>"Saumavarat "&amp;laskuri!D20&amp;" cm, päärmevarat "&amp;laskuri!D21&amp;" cm."</f>
        <v>Saumavarat 1 cm, päärmevarat 1,2 cm.</v>
      </c>
      <c r="B6" s="4"/>
      <c r="C6" s="4"/>
      <c r="D6" s="4"/>
      <c r="E6" s="4"/>
      <c r="F6" s="4"/>
      <c r="G6" s="4"/>
      <c r="H6" s="46"/>
      <c r="I6" s="46"/>
    </row>
    <row r="7" spans="1:9" x14ac:dyDescent="0.25">
      <c r="A7" s="40"/>
      <c r="B7" s="40"/>
      <c r="C7" s="40"/>
      <c r="D7" s="40"/>
      <c r="E7" s="40"/>
      <c r="F7" s="40"/>
      <c r="G7" s="40"/>
      <c r="H7" s="40"/>
      <c r="I7" s="40"/>
    </row>
    <row r="8" spans="1:9" ht="21" x14ac:dyDescent="0.35">
      <c r="A8" s="53" t="s">
        <v>52</v>
      </c>
      <c r="B8" s="40"/>
      <c r="C8" s="40"/>
      <c r="D8" s="40"/>
      <c r="E8" s="40"/>
      <c r="F8" s="40"/>
      <c r="G8" s="40"/>
      <c r="H8" s="40"/>
      <c r="I8" s="40"/>
    </row>
    <row r="9" spans="1:9" x14ac:dyDescent="0.25">
      <c r="A9" s="40" t="str">
        <f>"Kudo vyötärökaitaletta, saumavaraa ja alkupalttinaa varten tavallista palttinaa "&amp;(SUM(laskuri!D29:D31)&amp;" cm")</f>
        <v>Kudo vyötärökaitaletta, saumavaraa ja alkupalttinaa varten tavallista palttinaa 17,2 cm</v>
      </c>
      <c r="B9" s="41"/>
      <c r="C9" s="41"/>
      <c r="D9" s="41"/>
      <c r="E9" s="40"/>
      <c r="F9" s="40"/>
      <c r="G9" s="40"/>
      <c r="H9" s="40"/>
      <c r="I9" s="40"/>
    </row>
    <row r="10" spans="1:9" x14ac:dyDescent="0.25">
      <c r="A10" s="41"/>
      <c r="B10" s="41"/>
      <c r="C10" s="41"/>
      <c r="D10" s="41"/>
      <c r="E10" s="40"/>
      <c r="F10" s="40"/>
      <c r="G10" s="40"/>
      <c r="H10" s="40"/>
      <c r="I10" s="40"/>
    </row>
    <row r="11" spans="1:9" x14ac:dyDescent="0.25">
      <c r="A11" s="48" t="s">
        <v>50</v>
      </c>
      <c r="B11" s="40"/>
      <c r="C11" s="40"/>
      <c r="D11" s="40"/>
      <c r="E11" s="40"/>
      <c r="F11" s="40"/>
      <c r="G11" s="40"/>
      <c r="H11" s="40"/>
      <c r="I11" s="40"/>
    </row>
    <row r="12" spans="1:9" x14ac:dyDescent="0.25">
      <c r="A12" s="40"/>
      <c r="B12" s="40" t="str">
        <f>"Kudo "&amp;laskuri!D33&amp;" cm kapea raita."</f>
        <v>Kudo 1,9 cm kapea raita.</v>
      </c>
      <c r="C12" s="40"/>
      <c r="D12" s="40"/>
      <c r="E12" s="40"/>
      <c r="F12" s="40"/>
      <c r="G12" s="40"/>
      <c r="H12" s="40"/>
      <c r="I12" s="40"/>
    </row>
    <row r="13" spans="1:9" x14ac:dyDescent="0.25">
      <c r="A13" s="40"/>
      <c r="B13" s="42" t="s">
        <v>8</v>
      </c>
      <c r="C13" s="40"/>
      <c r="D13" s="40">
        <f>laskuri!G75</f>
        <v>6</v>
      </c>
      <c r="E13" s="40"/>
      <c r="F13" s="40"/>
      <c r="G13" s="40"/>
      <c r="H13" s="40"/>
      <c r="I13" s="40"/>
    </row>
    <row r="14" spans="1:9" x14ac:dyDescent="0.25">
      <c r="A14" s="40"/>
      <c r="B14" s="43" t="s">
        <v>9</v>
      </c>
      <c r="C14" s="40"/>
      <c r="D14" s="40">
        <f>laskuri!G76</f>
        <v>2</v>
      </c>
      <c r="E14" s="40"/>
      <c r="F14" s="40"/>
      <c r="G14" s="40"/>
      <c r="H14" s="40"/>
      <c r="I14" s="40"/>
    </row>
    <row r="15" spans="1:9" x14ac:dyDescent="0.25">
      <c r="A15" s="40"/>
      <c r="B15" s="42" t="s">
        <v>8</v>
      </c>
      <c r="C15" s="40"/>
      <c r="D15" s="40">
        <f>laskuri!G77</f>
        <v>6</v>
      </c>
      <c r="E15" s="40"/>
      <c r="F15" s="40"/>
      <c r="G15" s="40"/>
      <c r="H15" s="40"/>
      <c r="I15" s="40"/>
    </row>
    <row r="16" spans="1:9" x14ac:dyDescent="0.25">
      <c r="A16" s="40"/>
      <c r="B16" s="43" t="s">
        <v>9</v>
      </c>
      <c r="C16" s="40"/>
      <c r="D16" s="40">
        <f>laskuri!G78</f>
        <v>1</v>
      </c>
      <c r="E16" s="40"/>
      <c r="F16" s="40"/>
      <c r="G16" s="40"/>
      <c r="H16" s="40"/>
      <c r="I16" s="40"/>
    </row>
    <row r="17" spans="1:9" x14ac:dyDescent="0.25">
      <c r="A17" s="40"/>
      <c r="B17" s="44" t="s">
        <v>10</v>
      </c>
      <c r="C17" s="40"/>
      <c r="D17" s="40">
        <f>laskuri!G79</f>
        <v>1</v>
      </c>
      <c r="E17" s="40"/>
      <c r="F17" s="40"/>
      <c r="G17" s="40"/>
      <c r="H17" s="40"/>
      <c r="I17" s="40"/>
    </row>
    <row r="18" spans="1:9" x14ac:dyDescent="0.25">
      <c r="A18" s="40"/>
      <c r="B18" s="43" t="s">
        <v>9</v>
      </c>
      <c r="C18" s="40"/>
      <c r="D18" s="40">
        <f>laskuri!G80</f>
        <v>1</v>
      </c>
      <c r="E18" s="40"/>
      <c r="F18" s="40"/>
      <c r="G18" s="40"/>
      <c r="H18" s="40"/>
      <c r="I18" s="40"/>
    </row>
    <row r="19" spans="1:9" x14ac:dyDescent="0.25">
      <c r="A19" s="40"/>
      <c r="B19" s="44" t="s">
        <v>10</v>
      </c>
      <c r="C19" s="40"/>
      <c r="D19" s="40">
        <f>laskuri!G81</f>
        <v>1</v>
      </c>
      <c r="E19" s="40"/>
      <c r="F19" s="40"/>
      <c r="G19" s="40"/>
      <c r="H19" s="40"/>
      <c r="I19" s="40"/>
    </row>
    <row r="20" spans="1:9" x14ac:dyDescent="0.25">
      <c r="A20" s="40"/>
      <c r="B20" s="42" t="s">
        <v>8</v>
      </c>
      <c r="C20" s="40"/>
      <c r="D20" s="40">
        <f>laskuri!G82</f>
        <v>9</v>
      </c>
      <c r="E20" s="40"/>
      <c r="F20" s="40"/>
      <c r="G20" s="40"/>
      <c r="H20" s="40"/>
      <c r="I20" s="40"/>
    </row>
    <row r="21" spans="1:9" x14ac:dyDescent="0.25">
      <c r="A21" s="40"/>
      <c r="B21" s="44" t="s">
        <v>10</v>
      </c>
      <c r="C21" s="40"/>
      <c r="D21" s="40">
        <f>laskuri!G83</f>
        <v>2</v>
      </c>
      <c r="E21" s="40"/>
      <c r="F21" s="40"/>
      <c r="G21" s="40"/>
      <c r="H21" s="40"/>
      <c r="I21" s="40"/>
    </row>
    <row r="22" spans="1:9" x14ac:dyDescent="0.25">
      <c r="A22" s="40"/>
      <c r="B22" s="42" t="s">
        <v>8</v>
      </c>
      <c r="C22" s="40"/>
      <c r="D22" s="40">
        <f>laskuri!G84</f>
        <v>10</v>
      </c>
      <c r="E22" s="40"/>
      <c r="F22" s="40"/>
      <c r="G22" s="40"/>
      <c r="H22" s="40"/>
      <c r="I22" s="40"/>
    </row>
    <row r="23" spans="1:9" x14ac:dyDescent="0.25">
      <c r="A23" s="40"/>
      <c r="B23" s="44" t="s">
        <v>10</v>
      </c>
      <c r="C23" s="40"/>
      <c r="D23" s="40">
        <f>laskuri!G85</f>
        <v>2</v>
      </c>
      <c r="E23" s="40"/>
      <c r="F23" s="40"/>
      <c r="G23" s="40"/>
      <c r="H23" s="40"/>
      <c r="I23" s="40"/>
    </row>
    <row r="24" spans="1:9" x14ac:dyDescent="0.25">
      <c r="A24" s="40"/>
      <c r="B24" s="42" t="s">
        <v>8</v>
      </c>
      <c r="C24" s="40"/>
      <c r="D24" s="40">
        <f>laskuri!G86</f>
        <v>9</v>
      </c>
      <c r="E24" s="40"/>
      <c r="F24" s="40"/>
      <c r="G24" s="40"/>
      <c r="H24" s="40"/>
      <c r="I24" s="40"/>
    </row>
    <row r="25" spans="1:9" x14ac:dyDescent="0.25">
      <c r="A25" s="40"/>
      <c r="B25" s="43" t="s">
        <v>9</v>
      </c>
      <c r="C25" s="40"/>
      <c r="D25" s="40">
        <f>laskuri!G87</f>
        <v>1</v>
      </c>
      <c r="E25" s="40"/>
      <c r="F25" s="40"/>
      <c r="G25" s="40"/>
      <c r="H25" s="40"/>
      <c r="I25" s="40"/>
    </row>
    <row r="26" spans="1:9" x14ac:dyDescent="0.25">
      <c r="A26" s="40"/>
      <c r="B26" s="44" t="s">
        <v>10</v>
      </c>
      <c r="C26" s="40"/>
      <c r="D26" s="40">
        <f>laskuri!G88</f>
        <v>1</v>
      </c>
      <c r="E26" s="40"/>
      <c r="F26" s="40"/>
      <c r="G26" s="40"/>
      <c r="H26" s="40"/>
      <c r="I26" s="40"/>
    </row>
    <row r="27" spans="1:9" x14ac:dyDescent="0.25">
      <c r="A27" s="40"/>
      <c r="B27" s="43" t="s">
        <v>9</v>
      </c>
      <c r="C27" s="40"/>
      <c r="D27" s="40">
        <f>laskuri!G89</f>
        <v>1</v>
      </c>
      <c r="E27" s="40"/>
      <c r="F27" s="40"/>
      <c r="G27" s="40"/>
      <c r="H27" s="40"/>
      <c r="I27" s="40"/>
    </row>
    <row r="28" spans="1:9" x14ac:dyDescent="0.25">
      <c r="A28" s="40"/>
      <c r="B28" s="44" t="s">
        <v>10</v>
      </c>
      <c r="C28" s="40"/>
      <c r="D28" s="40">
        <f>laskuri!G90</f>
        <v>1</v>
      </c>
      <c r="E28" s="40"/>
      <c r="F28" s="40"/>
      <c r="G28" s="40"/>
      <c r="H28" s="40"/>
      <c r="I28" s="40"/>
    </row>
    <row r="29" spans="1:9" x14ac:dyDescent="0.25">
      <c r="A29" s="40"/>
      <c r="B29" s="42" t="s">
        <v>8</v>
      </c>
      <c r="C29" s="40"/>
      <c r="D29" s="40">
        <f>laskuri!G91</f>
        <v>6</v>
      </c>
      <c r="E29" s="40"/>
      <c r="F29" s="40"/>
      <c r="G29" s="40"/>
      <c r="H29" s="40"/>
      <c r="I29" s="40"/>
    </row>
    <row r="30" spans="1:9" x14ac:dyDescent="0.25">
      <c r="A30" s="40"/>
      <c r="B30" s="43" t="s">
        <v>9</v>
      </c>
      <c r="C30" s="40"/>
      <c r="D30" s="40">
        <f>laskuri!G92</f>
        <v>2</v>
      </c>
      <c r="E30" s="40"/>
      <c r="F30" s="40"/>
      <c r="G30" s="40"/>
      <c r="H30" s="40"/>
      <c r="I30" s="40"/>
    </row>
    <row r="31" spans="1:9" x14ac:dyDescent="0.25">
      <c r="A31" s="40"/>
      <c r="B31" s="42" t="s">
        <v>8</v>
      </c>
      <c r="C31" s="40"/>
      <c r="D31" s="40">
        <f>laskuri!G93</f>
        <v>6</v>
      </c>
      <c r="E31" s="40"/>
      <c r="F31" s="40"/>
      <c r="G31" s="40"/>
      <c r="H31" s="40"/>
      <c r="I31" s="40"/>
    </row>
    <row r="32" spans="1:9" x14ac:dyDescent="0.25">
      <c r="A32" s="40"/>
      <c r="B32" s="40"/>
      <c r="C32" s="40"/>
      <c r="D32" s="40"/>
      <c r="E32" s="40"/>
      <c r="F32" s="40"/>
      <c r="G32" s="40"/>
      <c r="H32" s="40"/>
      <c r="I32" s="40"/>
    </row>
    <row r="33" spans="1:9" x14ac:dyDescent="0.25">
      <c r="A33" s="40"/>
      <c r="B33" s="40" t="str">
        <f>"Kudo "&amp;laskuri!$D$34&amp;" cm tavallista palttinaa."</f>
        <v>Kudo 1,6 cm tavallista palttinaa.</v>
      </c>
      <c r="C33" s="40"/>
      <c r="D33" s="40"/>
      <c r="E33" s="40"/>
      <c r="F33" s="40"/>
      <c r="G33" s="40"/>
      <c r="H33" s="40"/>
      <c r="I33" s="40"/>
    </row>
    <row r="34" spans="1:9" x14ac:dyDescent="0.25">
      <c r="A34" s="40"/>
      <c r="B34" s="40"/>
      <c r="C34" s="40"/>
      <c r="D34" s="40"/>
      <c r="E34" s="40"/>
      <c r="F34" s="40"/>
      <c r="G34" s="40"/>
      <c r="H34" s="40"/>
      <c r="I34" s="40"/>
    </row>
    <row r="35" spans="1:9" x14ac:dyDescent="0.25">
      <c r="A35" s="40"/>
      <c r="B35" s="40" t="str">
        <f>"Kudo "&amp;laskuri!D35&amp;" cm leveä raita."</f>
        <v>Kudo 3 cm leveä raita.</v>
      </c>
      <c r="C35" s="40"/>
      <c r="D35" s="40"/>
      <c r="E35" s="40"/>
      <c r="F35" s="40"/>
      <c r="G35" s="40"/>
      <c r="H35" s="40"/>
      <c r="I35" s="40"/>
    </row>
    <row r="36" spans="1:9" x14ac:dyDescent="0.25">
      <c r="A36" s="40"/>
      <c r="B36" s="42" t="s">
        <v>8</v>
      </c>
      <c r="C36" s="40"/>
      <c r="D36" s="40">
        <f>laskuri!G103</f>
        <v>5</v>
      </c>
      <c r="E36" s="40"/>
      <c r="F36" s="40"/>
      <c r="G36" s="40"/>
      <c r="H36" s="40"/>
      <c r="I36" s="40"/>
    </row>
    <row r="37" spans="1:9" x14ac:dyDescent="0.25">
      <c r="A37" s="40"/>
      <c r="B37" s="45" t="s">
        <v>11</v>
      </c>
      <c r="C37" s="40"/>
      <c r="D37" s="40">
        <f>laskuri!G104</f>
        <v>3</v>
      </c>
      <c r="E37" s="40"/>
      <c r="F37" s="40"/>
      <c r="G37" s="40"/>
      <c r="H37" s="40"/>
      <c r="I37" s="40"/>
    </row>
    <row r="38" spans="1:9" x14ac:dyDescent="0.25">
      <c r="A38" s="40"/>
      <c r="B38" s="42" t="s">
        <v>8</v>
      </c>
      <c r="C38" s="40"/>
      <c r="D38" s="40">
        <f>laskuri!G105</f>
        <v>5</v>
      </c>
      <c r="E38" s="40"/>
      <c r="F38" s="40"/>
      <c r="G38" s="40"/>
      <c r="H38" s="40"/>
      <c r="I38" s="40"/>
    </row>
    <row r="39" spans="1:9" x14ac:dyDescent="0.25">
      <c r="A39" s="40"/>
      <c r="B39" s="45" t="s">
        <v>11</v>
      </c>
      <c r="C39" s="40"/>
      <c r="D39" s="40">
        <f>laskuri!G106</f>
        <v>3</v>
      </c>
      <c r="E39" s="40"/>
      <c r="F39" s="40"/>
      <c r="G39" s="40"/>
      <c r="H39" s="40"/>
      <c r="I39" s="40"/>
    </row>
    <row r="40" spans="1:9" x14ac:dyDescent="0.25">
      <c r="A40" s="40"/>
      <c r="B40" s="42" t="s">
        <v>8</v>
      </c>
      <c r="C40" s="40"/>
      <c r="D40" s="40">
        <f>laskuri!G107</f>
        <v>25</v>
      </c>
      <c r="E40" s="40" t="str">
        <f>"eli noin "&amp;(ROUND(D40/laskuri!$G$99,1))&amp;" cm punaista ripsiä"</f>
        <v>eli noin 0,7 cm punaista ripsiä</v>
      </c>
      <c r="F40" s="40"/>
      <c r="G40" s="40"/>
      <c r="H40" s="40"/>
      <c r="I40" s="40"/>
    </row>
    <row r="41" spans="1:9" x14ac:dyDescent="0.25">
      <c r="A41" s="40"/>
      <c r="B41" s="45" t="s">
        <v>11</v>
      </c>
      <c r="C41" s="40"/>
      <c r="D41" s="40">
        <f>laskuri!G108</f>
        <v>3</v>
      </c>
      <c r="E41" s="40"/>
      <c r="F41" s="40"/>
      <c r="G41" s="40"/>
      <c r="H41" s="40"/>
      <c r="I41" s="40"/>
    </row>
    <row r="42" spans="1:9" x14ac:dyDescent="0.25">
      <c r="A42" s="40"/>
      <c r="B42" s="42" t="s">
        <v>8</v>
      </c>
      <c r="C42" s="40"/>
      <c r="D42" s="40">
        <f>laskuri!G109</f>
        <v>5</v>
      </c>
      <c r="E42" s="40"/>
      <c r="F42" s="40"/>
      <c r="G42" s="40"/>
      <c r="H42" s="40"/>
      <c r="I42" s="40"/>
    </row>
    <row r="43" spans="1:9" x14ac:dyDescent="0.25">
      <c r="A43" s="40"/>
      <c r="B43" s="43" t="s">
        <v>9</v>
      </c>
      <c r="C43" s="40"/>
      <c r="D43" s="40">
        <f>laskuri!G110</f>
        <v>2</v>
      </c>
      <c r="E43" s="40"/>
      <c r="F43" s="40"/>
      <c r="G43" s="40"/>
      <c r="H43" s="40"/>
      <c r="I43" s="40"/>
    </row>
    <row r="44" spans="1:9" x14ac:dyDescent="0.25">
      <c r="A44" s="40"/>
      <c r="B44" s="42" t="s">
        <v>8</v>
      </c>
      <c r="C44" s="40"/>
      <c r="D44" s="40">
        <f>laskuri!G111</f>
        <v>2</v>
      </c>
      <c r="E44" s="40"/>
      <c r="F44" s="40"/>
      <c r="G44" s="40"/>
      <c r="H44" s="40"/>
      <c r="I44" s="40"/>
    </row>
    <row r="45" spans="1:9" x14ac:dyDescent="0.25">
      <c r="A45" s="40"/>
      <c r="B45" s="45" t="s">
        <v>11</v>
      </c>
      <c r="C45" s="40"/>
      <c r="D45" s="40">
        <f>laskuri!G112</f>
        <v>1</v>
      </c>
      <c r="E45" s="40"/>
      <c r="F45" s="40"/>
      <c r="G45" s="40"/>
      <c r="H45" s="40"/>
      <c r="I45" s="40"/>
    </row>
    <row r="46" spans="1:9" x14ac:dyDescent="0.25">
      <c r="A46" s="40"/>
      <c r="B46" s="42" t="s">
        <v>8</v>
      </c>
      <c r="C46" s="40"/>
      <c r="D46" s="40">
        <f>laskuri!G113</f>
        <v>1</v>
      </c>
      <c r="E46" s="40"/>
      <c r="F46" s="40"/>
      <c r="G46" s="40"/>
      <c r="H46" s="40"/>
      <c r="I46" s="40"/>
    </row>
    <row r="47" spans="1:9" x14ac:dyDescent="0.25">
      <c r="A47" s="40"/>
      <c r="B47" s="45" t="s">
        <v>11</v>
      </c>
      <c r="C47" s="40"/>
      <c r="D47" s="40">
        <f>laskuri!G114</f>
        <v>1</v>
      </c>
      <c r="E47" s="40"/>
      <c r="F47" s="40"/>
      <c r="G47" s="40"/>
      <c r="H47" s="40"/>
      <c r="I47" s="40"/>
    </row>
    <row r="48" spans="1:9" x14ac:dyDescent="0.25">
      <c r="A48" s="40"/>
      <c r="B48" s="42" t="s">
        <v>8</v>
      </c>
      <c r="C48" s="40"/>
      <c r="D48" s="40">
        <f>laskuri!G115</f>
        <v>1</v>
      </c>
      <c r="E48" s="40"/>
      <c r="F48" s="40"/>
      <c r="G48" s="40"/>
      <c r="H48" s="40"/>
      <c r="I48" s="40"/>
    </row>
    <row r="49" spans="1:9" x14ac:dyDescent="0.25">
      <c r="A49" s="40"/>
      <c r="B49" s="43" t="s">
        <v>9</v>
      </c>
      <c r="C49" s="40"/>
      <c r="D49" s="40">
        <f>laskuri!G116</f>
        <v>2</v>
      </c>
      <c r="E49" s="40"/>
      <c r="F49" s="40"/>
      <c r="G49" s="40"/>
      <c r="H49" s="40"/>
      <c r="I49" s="40"/>
    </row>
    <row r="50" spans="1:9" x14ac:dyDescent="0.25">
      <c r="A50" s="40"/>
      <c r="B50" s="42" t="s">
        <v>8</v>
      </c>
      <c r="C50" s="40"/>
      <c r="D50" s="40">
        <f>laskuri!G117</f>
        <v>5</v>
      </c>
      <c r="E50" s="40"/>
      <c r="F50" s="40"/>
      <c r="G50" s="40"/>
      <c r="H50" s="40"/>
      <c r="I50" s="40"/>
    </row>
    <row r="51" spans="1:9" x14ac:dyDescent="0.25">
      <c r="A51" s="40"/>
      <c r="B51" s="45" t="s">
        <v>11</v>
      </c>
      <c r="C51" s="40"/>
      <c r="D51" s="40">
        <f>laskuri!G118</f>
        <v>3</v>
      </c>
      <c r="E51" s="40"/>
      <c r="F51" s="40"/>
      <c r="G51" s="40"/>
      <c r="H51" s="40"/>
      <c r="I51" s="40"/>
    </row>
    <row r="52" spans="1:9" x14ac:dyDescent="0.25">
      <c r="A52" s="40"/>
      <c r="B52" s="42" t="s">
        <v>8</v>
      </c>
      <c r="C52" s="40"/>
      <c r="D52" s="40">
        <f>laskuri!G119</f>
        <v>25</v>
      </c>
      <c r="E52" s="40" t="str">
        <f>"eli noin "&amp;(ROUND(D52/laskuri!$G$99,1))&amp;" cm punaista ripsiä"</f>
        <v>eli noin 0,7 cm punaista ripsiä</v>
      </c>
      <c r="F52" s="40"/>
      <c r="G52" s="40"/>
      <c r="H52" s="40"/>
      <c r="I52" s="40"/>
    </row>
    <row r="53" spans="1:9" x14ac:dyDescent="0.25">
      <c r="A53" s="40"/>
      <c r="B53" s="45" t="s">
        <v>11</v>
      </c>
      <c r="C53" s="40"/>
      <c r="D53" s="40">
        <f>laskuri!G120</f>
        <v>3</v>
      </c>
      <c r="E53" s="40"/>
      <c r="F53" s="40"/>
      <c r="G53" s="40"/>
      <c r="H53" s="40"/>
      <c r="I53" s="40"/>
    </row>
    <row r="54" spans="1:9" x14ac:dyDescent="0.25">
      <c r="A54" s="40"/>
      <c r="B54" s="42" t="s">
        <v>8</v>
      </c>
      <c r="C54" s="40"/>
      <c r="D54" s="40">
        <f>laskuri!G121</f>
        <v>5</v>
      </c>
      <c r="E54" s="40"/>
      <c r="F54" s="40"/>
      <c r="G54" s="40"/>
      <c r="H54" s="40"/>
      <c r="I54" s="40"/>
    </row>
    <row r="55" spans="1:9" x14ac:dyDescent="0.25">
      <c r="A55" s="40"/>
      <c r="B55" s="45" t="s">
        <v>11</v>
      </c>
      <c r="C55" s="40"/>
      <c r="D55" s="40">
        <f>laskuri!G122</f>
        <v>3</v>
      </c>
      <c r="E55" s="40"/>
      <c r="F55" s="40"/>
      <c r="G55" s="40"/>
      <c r="H55" s="40"/>
      <c r="I55" s="40"/>
    </row>
    <row r="56" spans="1:9" x14ac:dyDescent="0.25">
      <c r="A56" s="40"/>
      <c r="B56" s="42" t="s">
        <v>8</v>
      </c>
      <c r="C56" s="40"/>
      <c r="D56" s="40">
        <f>laskuri!G123</f>
        <v>5</v>
      </c>
      <c r="E56" s="40"/>
      <c r="F56" s="40"/>
      <c r="G56" s="40"/>
      <c r="H56" s="40"/>
      <c r="I56" s="40"/>
    </row>
    <row r="57" spans="1:9" x14ac:dyDescent="0.25">
      <c r="A57" s="40"/>
      <c r="B57" s="40"/>
      <c r="C57" s="40"/>
      <c r="D57" s="40"/>
      <c r="E57" s="40"/>
      <c r="F57" s="40"/>
      <c r="G57" s="40"/>
      <c r="H57" s="40"/>
      <c r="I57" s="40"/>
    </row>
    <row r="58" spans="1:9" x14ac:dyDescent="0.25">
      <c r="A58" s="40"/>
      <c r="B58" s="40" t="str">
        <f>"Kudo "&amp;laskuri!$D$34&amp;" cm palttinaa."</f>
        <v>Kudo 1,6 cm palttinaa.</v>
      </c>
      <c r="C58" s="40"/>
      <c r="D58" s="40"/>
      <c r="E58" s="40"/>
      <c r="F58" s="40"/>
      <c r="G58" s="40"/>
      <c r="H58" s="40"/>
      <c r="I58" s="40"/>
    </row>
    <row r="59" spans="1:9" x14ac:dyDescent="0.25">
      <c r="A59" s="40"/>
      <c r="B59" s="40"/>
      <c r="C59" s="40"/>
      <c r="D59" s="40"/>
      <c r="E59" s="40"/>
      <c r="F59" s="40"/>
      <c r="G59" s="40"/>
      <c r="H59" s="40"/>
      <c r="I59" s="40"/>
    </row>
    <row r="60" spans="1:9" x14ac:dyDescent="0.25">
      <c r="A60" s="48" t="str">
        <f>"Toista kuviokerta "&amp;(laskuri!D9-1)&amp;" kertaa."</f>
        <v>Toista kuviokerta 6 kertaa.</v>
      </c>
      <c r="C60" s="40"/>
      <c r="D60" s="40"/>
      <c r="E60" s="40"/>
      <c r="F60" s="40"/>
      <c r="G60" s="40"/>
      <c r="H60" s="40"/>
      <c r="I60" s="40"/>
    </row>
    <row r="61" spans="1:9" x14ac:dyDescent="0.25">
      <c r="A61" s="48" t="s">
        <v>51</v>
      </c>
      <c r="C61" s="40"/>
      <c r="D61" s="40"/>
      <c r="E61" s="40"/>
      <c r="F61" s="40"/>
      <c r="G61" s="40"/>
      <c r="H61" s="40"/>
      <c r="I61" s="40"/>
    </row>
    <row r="63" spans="1:9" x14ac:dyDescent="0.25">
      <c r="A63" t="str">
        <f>"Kudo palttinaa "&amp;laskuri!D38&amp;" cm."</f>
        <v>Kudo palttinaa 0,6 cm.</v>
      </c>
    </row>
    <row r="64" spans="1:9" x14ac:dyDescent="0.25">
      <c r="A64" t="str">
        <f>"Kudo "&amp;laskuri!D39&amp;" cm leveä loppuraita:"</f>
        <v>Kudo 0,4 cm leveä loppuraita:</v>
      </c>
    </row>
    <row r="65" spans="1:4" x14ac:dyDescent="0.25">
      <c r="B65" s="28" t="s">
        <v>8</v>
      </c>
      <c r="D65">
        <f>laskuri!G162</f>
        <v>6</v>
      </c>
    </row>
    <row r="66" spans="1:4" x14ac:dyDescent="0.25">
      <c r="B66" s="27" t="s">
        <v>9</v>
      </c>
      <c r="D66">
        <f>laskuri!G163</f>
        <v>3</v>
      </c>
    </row>
    <row r="67" spans="1:4" x14ac:dyDescent="0.25">
      <c r="B67" s="28" t="s">
        <v>8</v>
      </c>
      <c r="D67">
        <f>laskuri!G164</f>
        <v>5</v>
      </c>
    </row>
    <row r="68" spans="1:4" x14ac:dyDescent="0.25">
      <c r="A68" t="str">
        <f>"Kudo päärmevara "&amp;laskuri!D40&amp;" cm."</f>
        <v>Kudo päärmevara 1,3 cm.</v>
      </c>
    </row>
    <row r="70" spans="1:4" x14ac:dyDescent="0.25">
      <c r="A70" s="52" t="s">
        <v>54</v>
      </c>
    </row>
    <row r="71" spans="1:4" x14ac:dyDescent="0.25">
      <c r="A71" s="52" t="s">
        <v>55</v>
      </c>
    </row>
    <row r="72" spans="1:4" x14ac:dyDescent="0.25">
      <c r="B72" t="str">
        <f>"Kudo palttinaa saumavara "&amp;laskuri!D42&amp;" cm."</f>
        <v>Kudo palttinaa saumavara 1,1 cm.</v>
      </c>
    </row>
    <row r="73" spans="1:4" x14ac:dyDescent="0.25">
      <c r="A73" s="52"/>
      <c r="B73" t="str">
        <f>"Kudo "&amp;laskuri!D43&amp;" cm ripsiraita:"</f>
        <v>Kudo 1,5 cm ripsiraita:</v>
      </c>
    </row>
    <row r="74" spans="1:4" x14ac:dyDescent="0.25">
      <c r="B74" s="28" t="s">
        <v>8</v>
      </c>
      <c r="D74">
        <f>laskuri!G136</f>
        <v>10</v>
      </c>
    </row>
    <row r="75" spans="1:4" x14ac:dyDescent="0.25">
      <c r="B75" t="s">
        <v>46</v>
      </c>
      <c r="D75">
        <f>laskuri!G137</f>
        <v>8</v>
      </c>
    </row>
    <row r="76" spans="1:4" x14ac:dyDescent="0.25">
      <c r="B76" s="28" t="s">
        <v>8</v>
      </c>
      <c r="D76">
        <f>laskuri!G138</f>
        <v>7</v>
      </c>
    </row>
    <row r="77" spans="1:4" x14ac:dyDescent="0.25">
      <c r="B77" s="29" t="s">
        <v>10</v>
      </c>
      <c r="D77">
        <f>laskuri!G139</f>
        <v>2</v>
      </c>
    </row>
    <row r="78" spans="1:4" x14ac:dyDescent="0.25">
      <c r="B78" s="28" t="s">
        <v>8</v>
      </c>
      <c r="D78">
        <f>laskuri!G140</f>
        <v>2</v>
      </c>
    </row>
    <row r="79" spans="1:4" x14ac:dyDescent="0.25">
      <c r="B79" s="29" t="s">
        <v>10</v>
      </c>
      <c r="D79">
        <f>laskuri!G141</f>
        <v>1</v>
      </c>
    </row>
    <row r="80" spans="1:4" x14ac:dyDescent="0.25">
      <c r="B80" s="27" t="s">
        <v>9</v>
      </c>
      <c r="D80">
        <f>laskuri!G142</f>
        <v>1</v>
      </c>
    </row>
    <row r="81" spans="1:9" x14ac:dyDescent="0.25">
      <c r="B81" s="29" t="s">
        <v>10</v>
      </c>
      <c r="D81">
        <f>laskuri!G143</f>
        <v>1</v>
      </c>
    </row>
    <row r="82" spans="1:9" x14ac:dyDescent="0.25">
      <c r="B82" s="27" t="s">
        <v>9</v>
      </c>
      <c r="D82">
        <f>laskuri!G144</f>
        <v>1</v>
      </c>
    </row>
    <row r="83" spans="1:9" x14ac:dyDescent="0.25">
      <c r="B83" s="28" t="s">
        <v>8</v>
      </c>
      <c r="D83">
        <f>laskuri!G145</f>
        <v>2</v>
      </c>
    </row>
    <row r="84" spans="1:9" x14ac:dyDescent="0.25">
      <c r="B84" s="29" t="s">
        <v>10</v>
      </c>
      <c r="D84">
        <f>laskuri!G146</f>
        <v>2</v>
      </c>
    </row>
    <row r="85" spans="1:9" x14ac:dyDescent="0.25">
      <c r="B85" s="28" t="s">
        <v>8</v>
      </c>
      <c r="D85">
        <f>laskuri!G147</f>
        <v>6</v>
      </c>
    </row>
    <row r="86" spans="1:9" x14ac:dyDescent="0.25">
      <c r="B86" s="27" t="s">
        <v>9</v>
      </c>
      <c r="D86">
        <f>laskuri!G148</f>
        <v>2</v>
      </c>
    </row>
    <row r="87" spans="1:9" x14ac:dyDescent="0.25">
      <c r="B87" s="28" t="s">
        <v>8</v>
      </c>
      <c r="D87">
        <f>laskuri!G149</f>
        <v>8</v>
      </c>
    </row>
    <row r="89" spans="1:9" x14ac:dyDescent="0.25">
      <c r="B89" t="str">
        <f>"Kudo palttinaa päärmevara "&amp;laskuri!D44&amp;" cm."</f>
        <v>Kudo palttinaa päärmevara 1,3 cm.</v>
      </c>
    </row>
    <row r="90" spans="1:9" x14ac:dyDescent="0.25">
      <c r="A90" s="52" t="s">
        <v>79</v>
      </c>
    </row>
    <row r="91" spans="1:9" x14ac:dyDescent="0.25">
      <c r="A91" s="52" t="s">
        <v>80</v>
      </c>
    </row>
    <row r="92" spans="1:9" x14ac:dyDescent="0.25">
      <c r="B92" t="str">
        <f>laskuri!D22&amp;" cm leveän pitsin"</f>
        <v>2 cm leveän pitsin</v>
      </c>
    </row>
    <row r="93" spans="1:9" x14ac:dyDescent="0.25">
      <c r="B93" t="str">
        <f>laskuri!D23&amp;" cm pitkät hapsut"</f>
        <v>2,5 cm pitkät hapsut</v>
      </c>
    </row>
    <row r="94" spans="1:9" x14ac:dyDescent="0.25">
      <c r="A94" s="93" t="str">
        <f>"Ennen ompelua leikkaa kankaan alusta "&amp;laskuri!C29&amp;" cm leveä kaitale vyötärökaitaleeksi. Leikkaa kankaan lopusta kolme reunakaitaletta sauma- ja päärmevaroineen."</f>
        <v>Ennen ompelua leikkaa kankaan alusta 5,2 cm leveä kaitale vyötärökaitaleeksi. Leikkaa kankaan lopusta kolme reunakaitaletta sauma- ja päärmevaroineen.</v>
      </c>
      <c r="B94" s="93"/>
      <c r="C94" s="93"/>
      <c r="D94" s="93"/>
      <c r="E94" s="93"/>
      <c r="F94" s="93"/>
      <c r="G94" s="93"/>
      <c r="H94" s="93"/>
      <c r="I94" s="93"/>
    </row>
    <row r="95" spans="1:9" x14ac:dyDescent="0.25">
      <c r="A95" s="93"/>
      <c r="B95" s="93"/>
      <c r="C95" s="93"/>
      <c r="D95" s="93"/>
      <c r="E95" s="93"/>
      <c r="F95" s="93"/>
      <c r="G95" s="93"/>
      <c r="H95" s="93"/>
      <c r="I95" s="93"/>
    </row>
  </sheetData>
  <mergeCells count="1">
    <mergeCell ref="A94:I95"/>
  </mergeCells>
  <conditionalFormatting sqref="D65:D67">
    <cfRule type="cellIs" dxfId="2" priority="3" operator="lessThan">
      <formula>1</formula>
    </cfRule>
  </conditionalFormatting>
  <conditionalFormatting sqref="D74:D87">
    <cfRule type="containsText" dxfId="1" priority="1" operator="containsText" text="mikä on aika paljon">
      <formula>NOT(ISERROR(SEARCH("mikä on aika paljon",D74)))</formula>
    </cfRule>
    <cfRule type="cellIs" dxfId="0" priority="2" operator="lessThan">
      <formula>1</formula>
    </cfRule>
  </conditionalFormatting>
  <pageMargins left="0.7" right="0.7" top="0.75" bottom="0.75" header="0.3" footer="0.3"/>
  <pageSetup paperSize="9" orientation="portrait" r:id="rId1"/>
  <headerFooter>
    <oddHeader>&amp;CRuokolahtelainen esiliina (Lahden museot 2430:986)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laskuri</vt:lpstr>
      <vt:lpstr>tuloste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</dc:creator>
  <cp:keywords/>
  <dc:description/>
  <cp:lastModifiedBy>Ella Kaplas</cp:lastModifiedBy>
  <cp:revision/>
  <cp:lastPrinted>2024-12-03T14:06:11Z</cp:lastPrinted>
  <dcterms:created xsi:type="dcterms:W3CDTF">2024-08-26T06:04:17Z</dcterms:created>
  <dcterms:modified xsi:type="dcterms:W3CDTF">2024-12-13T08:19:54Z</dcterms:modified>
  <cp:category/>
  <cp:contentStatus/>
</cp:coreProperties>
</file>